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theme/themeOverride7.xml" ContentType="application/vnd.openxmlformats-officedocument.themeOverride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+xml"/>
  <Override PartName="/xl/charts/chart19.xml" ContentType="application/vnd.openxmlformats-officedocument.drawingml.chart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theme/themeOverride8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theme/themeOverride9.xml" ContentType="application/vnd.openxmlformats-officedocument.themeOverride+xml"/>
  <Override PartName="/xl/drawings/drawing29.xml" ContentType="application/vnd.openxmlformats-officedocument.drawing+xml"/>
  <Override PartName="/xl/charts/chart22.xml" ContentType="application/vnd.openxmlformats-officedocument.drawingml.chart+xml"/>
  <Override PartName="/xl/theme/themeOverride10.xml" ContentType="application/vnd.openxmlformats-officedocument.themeOverride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11.xml" ContentType="application/vnd.openxmlformats-officedocument.themeOverride+xml"/>
  <Override PartName="/xl/drawings/drawing32.xml" ContentType="application/vnd.openxmlformats-officedocument.drawing+xml"/>
  <Override PartName="/xl/charts/chart25.xml" ContentType="application/vnd.openxmlformats-officedocument.drawingml.chart+xml"/>
  <Override PartName="/xl/drawings/drawing33.xml" ContentType="application/vnd.openxmlformats-officedocument.drawing+xml"/>
  <Override PartName="/xl/charts/chart26.xml" ContentType="application/vnd.openxmlformats-officedocument.drawingml.chart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27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8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0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1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32.xml" ContentType="application/vnd.openxmlformats-officedocument.drawingml.chart+xml"/>
  <Override PartName="/xl/drawings/drawing46.xml" ContentType="application/vnd.openxmlformats-officedocument.drawing+xml"/>
  <Override PartName="/xl/charts/chart33.xml" ContentType="application/vnd.openxmlformats-officedocument.drawingml.chart+xml"/>
  <Override PartName="/xl/theme/themeOverride12.xml" ContentType="application/vnd.openxmlformats-officedocument.themeOverride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4.xml" ContentType="application/vnd.openxmlformats-officedocument.drawingml.chart+xml"/>
  <Override PartName="/xl/theme/themeOverride13.xml" ContentType="application/vnd.openxmlformats-officedocument.themeOverride+xml"/>
  <Override PartName="/xl/drawings/drawing49.xml" ContentType="application/vnd.openxmlformats-officedocument.drawing+xml"/>
  <Override PartName="/xl/charts/chart35.xml" ContentType="application/vnd.openxmlformats-officedocument.drawingml.chart+xml"/>
  <Override PartName="/xl/theme/themeOverride14.xml" ContentType="application/vnd.openxmlformats-officedocument.themeOverride+xml"/>
  <Override PartName="/xl/drawings/drawing50.xml" ContentType="application/vnd.openxmlformats-officedocument.drawing+xml"/>
  <Override PartName="/xl/charts/chart36.xml" ContentType="application/vnd.openxmlformats-officedocument.drawingml.chart+xml"/>
  <Override PartName="/xl/drawings/drawing51.xml" ContentType="application/vnd.openxmlformats-officedocument.drawing+xml"/>
  <Override PartName="/xl/charts/chart37.xml" ContentType="application/vnd.openxmlformats-officedocument.drawingml.chart+xml"/>
  <Override PartName="/xl/drawings/drawing52.xml" ContentType="application/vnd.openxmlformats-officedocument.drawing+xml"/>
  <Override PartName="/xl/charts/chart38.xml" ContentType="application/vnd.openxmlformats-officedocument.drawingml.chart+xml"/>
  <Override PartName="/xl/drawings/drawing53.xml" ContentType="application/vnd.openxmlformats-officedocument.drawing+xml"/>
  <Override PartName="/xl/charts/chart39.xml" ContentType="application/vnd.openxmlformats-officedocument.drawingml.chart+xml"/>
  <Override PartName="/xl/drawings/drawing54.xml" ContentType="application/vnd.openxmlformats-officedocument.drawing+xml"/>
  <Override PartName="/xl/charts/chart40.xml" ContentType="application/vnd.openxmlformats-officedocument.drawingml.chart+xml"/>
  <Override PartName="/xl/drawings/drawing55.xml" ContentType="application/vnd.openxmlformats-officedocument.drawing+xml"/>
  <Override PartName="/xl/charts/chart41.xml" ContentType="application/vnd.openxmlformats-officedocument.drawingml.chart+xml"/>
  <Override PartName="/xl/drawings/drawing56.xml" ContentType="application/vnd.openxmlformats-officedocument.drawing+xml"/>
  <Override PartName="/xl/charts/chart42.xml" ContentType="application/vnd.openxmlformats-officedocument.drawingml.chart+xml"/>
  <Override PartName="/xl/drawings/drawing57.xml" ContentType="application/vnd.openxmlformats-officedocument.drawing+xml"/>
  <Override PartName="/xl/charts/chart43.xml" ContentType="application/vnd.openxmlformats-officedocument.drawingml.chart+xml"/>
  <Override PartName="/xl/drawings/drawing58.xml" ContentType="application/vnd.openxmlformats-officedocument.drawing+xml"/>
  <Override PartName="/xl/charts/chart44.xml" ContentType="application/vnd.openxmlformats-officedocument.drawingml.chart+xml"/>
  <Override PartName="/xl/theme/themeOverride15.xml" ContentType="application/vnd.openxmlformats-officedocument.themeOverride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45.xml" ContentType="application/vnd.openxmlformats-officedocument.drawingml.chart+xml"/>
  <Override PartName="/xl/theme/themeOverride16.xml" ContentType="application/vnd.openxmlformats-officedocument.themeOverride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drawings/drawing62.xml" ContentType="application/vnd.openxmlformats-officedocument.drawing+xml"/>
  <Override PartName="/xl/charts/chart47.xml" ContentType="application/vnd.openxmlformats-officedocument.drawingml.chart+xml"/>
  <Override PartName="/xl/drawings/drawing63.xml" ContentType="application/vnd.openxmlformats-officedocument.drawing+xml"/>
  <Override PartName="/xl/charts/chart48.xml" ContentType="application/vnd.openxmlformats-officedocument.drawingml.chart+xml"/>
  <Override PartName="/xl/drawings/drawing64.xml" ContentType="application/vnd.openxmlformats-officedocument.drawing+xml"/>
  <Override PartName="/xl/charts/chart49.xml" ContentType="application/vnd.openxmlformats-officedocument.drawingml.chart+xml"/>
  <Override PartName="/xl/drawings/drawing65.xml" ContentType="application/vnd.openxmlformats-officedocument.drawing+xml"/>
  <Override PartName="/xl/charts/chart50.xml" ContentType="application/vnd.openxmlformats-officedocument.drawingml.chart+xml"/>
  <Override PartName="/xl/drawings/drawing66.xml" ContentType="application/vnd.openxmlformats-officedocument.drawing+xml"/>
  <Override PartName="/xl/charts/chart51.xml" ContentType="application/vnd.openxmlformats-officedocument.drawingml.chart+xml"/>
  <Override PartName="/xl/theme/themeOverride17.xml" ContentType="application/vnd.openxmlformats-officedocument.themeOverride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52.xml" ContentType="application/vnd.openxmlformats-officedocument.drawingml.chart+xml"/>
  <Override PartName="/xl/theme/themeOverride18.xml" ContentType="application/vnd.openxmlformats-officedocument.themeOverride+xml"/>
  <Override PartName="/xl/drawings/drawing69.xml" ContentType="application/vnd.openxmlformats-officedocument.drawing+xml"/>
  <Override PartName="/xl/charts/chart53.xml" ContentType="application/vnd.openxmlformats-officedocument.drawingml.chart+xml"/>
  <Override PartName="/xl/theme/themeOverride19.xml" ContentType="application/vnd.openxmlformats-officedocument.themeOverride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54.xml" ContentType="application/vnd.openxmlformats-officedocument.drawingml.chart+xml"/>
  <Override PartName="/xl/theme/themeOverride20.xml" ContentType="application/vnd.openxmlformats-officedocument.themeOverride+xml"/>
  <Override PartName="/xl/drawings/drawing72.xml" ContentType="application/vnd.openxmlformats-officedocument.drawing+xml"/>
  <Override PartName="/xl/charts/chart55.xml" ContentType="application/vnd.openxmlformats-officedocument.drawingml.chart+xml"/>
  <Override PartName="/xl/drawings/drawing73.xml" ContentType="application/vnd.openxmlformats-officedocument.drawingml.chartshapes+xml"/>
  <Override PartName="/xl/drawings/drawing74.xml" ContentType="application/vnd.openxmlformats-officedocument.drawing+xml"/>
  <Override PartName="/xl/charts/chart56.xml" ContentType="application/vnd.openxmlformats-officedocument.drawingml.chart+xml"/>
  <Override PartName="/xl/drawings/drawing75.xml" ContentType="application/vnd.openxmlformats-officedocument.drawing+xml"/>
  <Override PartName="/xl/charts/chart57.xml" ContentType="application/vnd.openxmlformats-officedocument.drawingml.chart+xml"/>
  <Override PartName="/xl/theme/themeOverride21.xml" ContentType="application/vnd.openxmlformats-officedocument.themeOverride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58.xml" ContentType="application/vnd.openxmlformats-officedocument.drawingml.chart+xml"/>
  <Override PartName="/xl/theme/themeOverride22.xml" ContentType="application/vnd.openxmlformats-officedocument.themeOverride+xml"/>
  <Override PartName="/xl/drawings/drawing78.xml" ContentType="application/vnd.openxmlformats-officedocument.drawing+xml"/>
  <Override PartName="/xl/charts/chart59.xml" ContentType="application/vnd.openxmlformats-officedocument.drawingml.chart+xml"/>
  <Override PartName="/xl/theme/themeOverride23.xml" ContentType="application/vnd.openxmlformats-officedocument.themeOverride+xml"/>
  <Override PartName="/xl/drawings/drawing79.xml" ContentType="application/vnd.openxmlformats-officedocument.drawing+xml"/>
  <Override PartName="/xl/charts/chart6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61.xml" ContentType="application/vnd.openxmlformats-officedocument.drawingml.chart+xml"/>
  <Override PartName="/xl/theme/themeOverride24.xml" ContentType="application/vnd.openxmlformats-officedocument.themeOverride+xml"/>
  <Override PartName="/xl/drawings/drawing82.xml" ContentType="application/vnd.openxmlformats-officedocument.drawing+xml"/>
  <Override PartName="/xl/charts/chart6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charts/chart63.xml" ContentType="application/vnd.openxmlformats-officedocument.drawingml.chart+xml"/>
  <Override PartName="/xl/drawings/drawing85.xml" ContentType="application/vnd.openxmlformats-officedocument.drawingml.chartshapes+xml"/>
  <Override PartName="/xl/drawings/drawing86.xml" ContentType="application/vnd.openxmlformats-officedocument.drawing+xml"/>
  <Override PartName="/xl/charts/chart64.xml" ContentType="application/vnd.openxmlformats-officedocument.drawingml.chart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charts/chart65.xml" ContentType="application/vnd.openxmlformats-officedocument.drawingml.chart+xml"/>
  <Override PartName="/xl/drawings/drawing89.xml" ContentType="application/vnd.openxmlformats-officedocument.drawingml.chartshapes+xml"/>
  <Override PartName="/xl/drawings/drawing90.xml" ContentType="application/vnd.openxmlformats-officedocument.drawing+xml"/>
  <Override PartName="/xl/charts/chart66.xml" ContentType="application/vnd.openxmlformats-officedocument.drawingml.chart+xml"/>
  <Override PartName="/xl/drawings/drawing91.xml" ContentType="application/vnd.openxmlformats-officedocument.drawingml.chartshapes+xml"/>
  <Override PartName="/xl/drawings/drawing92.xml" ContentType="application/vnd.openxmlformats-officedocument.drawing+xml"/>
  <Override PartName="/xl/charts/chart67.xml" ContentType="application/vnd.openxmlformats-officedocument.drawingml.chart+xml"/>
  <Override PartName="/xl/drawings/drawing93.xml" ContentType="application/vnd.openxmlformats-officedocument.drawingml.chartshapes+xml"/>
  <Override PartName="/xl/drawings/drawing94.xml" ContentType="application/vnd.openxmlformats-officedocument.drawing+xml"/>
  <Override PartName="/xl/charts/chart68.xml" ContentType="application/vnd.openxmlformats-officedocument.drawingml.chart+xml"/>
  <Override PartName="/xl/drawings/drawing95.xml" ContentType="application/vnd.openxmlformats-officedocument.drawingml.chartshapes+xml"/>
  <Override PartName="/xl/drawings/drawing96.xml" ContentType="application/vnd.openxmlformats-officedocument.drawing+xml"/>
  <Override PartName="/xl/charts/chart69.xml" ContentType="application/vnd.openxmlformats-officedocument.drawingml.chart+xml"/>
  <Override PartName="/xl/drawings/drawing97.xml" ContentType="application/vnd.openxmlformats-officedocument.drawing+xml"/>
  <Override PartName="/xl/charts/chart70.xml" ContentType="application/vnd.openxmlformats-officedocument.drawingml.chart+xml"/>
  <Override PartName="/xl/drawings/drawing98.xml" ContentType="application/vnd.openxmlformats-officedocument.drawing+xml"/>
  <Override PartName="/xl/charts/chart71.xml" ContentType="application/vnd.openxmlformats-officedocument.drawingml.chart+xml"/>
  <Override PartName="/xl/drawings/drawing99.xml" ContentType="application/vnd.openxmlformats-officedocument.drawing+xml"/>
  <Override PartName="/xl/charts/chart72.xml" ContentType="application/vnd.openxmlformats-officedocument.drawingml.chart+xml"/>
  <Override PartName="/xl/theme/themeOverride25.xml" ContentType="application/vnd.openxmlformats-officedocument.themeOverride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73.xml" ContentType="application/vnd.openxmlformats-officedocument.drawingml.chart+xml"/>
  <Override PartName="/xl/theme/themeOverride26.xml" ContentType="application/vnd.openxmlformats-officedocument.themeOverride+xml"/>
  <Override PartName="/xl/drawings/drawing102.xml" ContentType="application/vnd.openxmlformats-officedocument.drawing+xml"/>
  <Override PartName="/xl/charts/chart74.xml" ContentType="application/vnd.openxmlformats-officedocument.drawingml.chart+xml"/>
  <Override PartName="/xl/theme/themeOverride27.xml" ContentType="application/vnd.openxmlformats-officedocument.themeOverride+xml"/>
  <Override PartName="/xl/drawings/drawing103.xml" ContentType="application/vnd.openxmlformats-officedocument.drawing+xml"/>
  <Override PartName="/xl/charts/chart75.xml" ContentType="application/vnd.openxmlformats-officedocument.drawingml.chart+xml"/>
  <Override PartName="/xl/drawings/drawing104.xml" ContentType="application/vnd.openxmlformats-officedocument.drawing+xml"/>
  <Override PartName="/xl/charts/chart76.xml" ContentType="application/vnd.openxmlformats-officedocument.drawingml.chart+xml"/>
  <Override PartName="/xl/theme/themeOverride28.xml" ContentType="application/vnd.openxmlformats-officedocument.themeOverride+xml"/>
  <Override PartName="/xl/drawings/drawing105.xml" ContentType="application/vnd.openxmlformats-officedocument.drawing+xml"/>
  <Override PartName="/xl/charts/chart77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78.xml" ContentType="application/vnd.openxmlformats-officedocument.drawingml.chart+xml"/>
  <Override PartName="/xl/drawings/drawing108.xml" ContentType="application/vnd.openxmlformats-officedocument.drawing+xml"/>
  <Override PartName="/xl/charts/chart79.xml" ContentType="application/vnd.openxmlformats-officedocument.drawingml.chart+xml"/>
  <Override PartName="/xl/drawings/drawing109.xml" ContentType="application/vnd.openxmlformats-officedocument.drawing+xml"/>
  <Override PartName="/xl/charts/chart80.xml" ContentType="application/vnd.openxmlformats-officedocument.drawingml.chart+xml"/>
  <Override PartName="/xl/drawings/drawing110.xml" ContentType="application/vnd.openxmlformats-officedocument.drawing+xml"/>
  <Override PartName="/xl/charts/chart81.xml" ContentType="application/vnd.openxmlformats-officedocument.drawingml.chart+xml"/>
  <Override PartName="/xl/drawings/drawing111.xml" ContentType="application/vnd.openxmlformats-officedocument.drawing+xml"/>
  <Override PartName="/xl/charts/chart82.xml" ContentType="application/vnd.openxmlformats-officedocument.drawingml.chart+xml"/>
  <Override PartName="/xl/drawings/drawing112.xml" ContentType="application/vnd.openxmlformats-officedocument.drawing+xml"/>
  <Override PartName="/xl/charts/chart83.xml" ContentType="application/vnd.openxmlformats-officedocument.drawingml.chart+xml"/>
  <Override PartName="/xl/theme/themeOverride29.xml" ContentType="application/vnd.openxmlformats-officedocument.themeOverride+xml"/>
  <Override PartName="/xl/drawings/drawing113.xml" ContentType="application/vnd.openxmlformats-officedocument.drawingml.chartshapes+xml"/>
  <Override PartName="/xl/drawings/drawing114.xml" ContentType="application/vnd.openxmlformats-officedocument.drawing+xml"/>
  <Override PartName="/xl/charts/chart84.xml" ContentType="application/vnd.openxmlformats-officedocument.drawingml.chart+xml"/>
  <Override PartName="/xl/theme/themeOverride30.xml" ContentType="application/vnd.openxmlformats-officedocument.themeOverride+xml"/>
  <Override PartName="/xl/drawings/drawing115.xml" ContentType="application/vnd.openxmlformats-officedocument.drawing+xml"/>
  <Override PartName="/xl/charts/chart85.xml" ContentType="application/vnd.openxmlformats-officedocument.drawingml.chart+xml"/>
  <Override PartName="/xl/theme/themeOverride31.xml" ContentType="application/vnd.openxmlformats-officedocument.themeOverride+xml"/>
  <Override PartName="/xl/drawings/drawing116.xml" ContentType="application/vnd.openxmlformats-officedocument.drawing+xml"/>
  <Override PartName="/xl/charts/chart86.xml" ContentType="application/vnd.openxmlformats-officedocument.drawingml.chart+xml"/>
  <Override PartName="/xl/drawings/drawing117.xml" ContentType="application/vnd.openxmlformats-officedocument.drawing+xml"/>
  <Override PartName="/xl/charts/chart87.xml" ContentType="application/vnd.openxmlformats-officedocument.drawingml.chart+xml"/>
  <Override PartName="/xl/drawings/drawing118.xml" ContentType="application/vnd.openxmlformats-officedocument.drawing+xml"/>
  <Override PartName="/xl/charts/chart88.xml" ContentType="application/vnd.openxmlformats-officedocument.drawingml.chart+xml"/>
  <Override PartName="/xl/drawings/drawing119.xml" ContentType="application/vnd.openxmlformats-officedocument.drawing+xml"/>
  <Override PartName="/xl/charts/chart89.xml" ContentType="application/vnd.openxmlformats-officedocument.drawingml.chart+xml"/>
  <Override PartName="/xl/drawings/drawing120.xml" ContentType="application/vnd.openxmlformats-officedocument.drawing+xml"/>
  <Override PartName="/xl/charts/chart90.xml" ContentType="application/vnd.openxmlformats-officedocument.drawingml.chart+xml"/>
  <Override PartName="/xl/drawings/drawing121.xml" ContentType="application/vnd.openxmlformats-officedocument.drawing+xml"/>
  <Override PartName="/xl/charts/chart91.xml" ContentType="application/vnd.openxmlformats-officedocument.drawingml.chart+xml"/>
  <Override PartName="/xl/drawings/drawing122.xml" ContentType="application/vnd.openxmlformats-officedocument.drawing+xml"/>
  <Override PartName="/xl/charts/chart92.xml" ContentType="application/vnd.openxmlformats-officedocument.drawingml.chart+xml"/>
  <Override PartName="/xl/drawings/drawing123.xml" ContentType="application/vnd.openxmlformats-officedocument.drawing+xml"/>
  <Override PartName="/xl/charts/chart93.xml" ContentType="application/vnd.openxmlformats-officedocument.drawingml.chart+xml"/>
  <Override PartName="/xl/theme/themeOverride32.xml" ContentType="application/vnd.openxmlformats-officedocument.themeOverride+xml"/>
  <Override PartName="/xl/drawings/drawing124.xml" ContentType="application/vnd.openxmlformats-officedocument.drawingml.chartshapes+xml"/>
  <Override PartName="/xl/drawings/drawing125.xml" ContentType="application/vnd.openxmlformats-officedocument.drawing+xml"/>
  <Override PartName="/xl/charts/chart94.xml" ContentType="application/vnd.openxmlformats-officedocument.drawingml.chart+xml"/>
  <Override PartName="/xl/theme/themeOverride33.xml" ContentType="application/vnd.openxmlformats-officedocument.themeOverride+xml"/>
  <Override PartName="/xl/drawings/drawing126.xml" ContentType="application/vnd.openxmlformats-officedocument.drawing+xml"/>
  <Override PartName="/xl/charts/chart95.xml" ContentType="application/vnd.openxmlformats-officedocument.drawingml.chart+xml"/>
  <Override PartName="/xl/drawings/drawing127.xml" ContentType="application/vnd.openxmlformats-officedocument.drawing+xml"/>
  <Override PartName="/xl/charts/chart96.xml" ContentType="application/vnd.openxmlformats-officedocument.drawingml.chart+xml"/>
  <Override PartName="/xl/drawings/drawing128.xml" ContentType="application/vnd.openxmlformats-officedocument.drawing+xml"/>
  <Override PartName="/xl/charts/chart97.xml" ContentType="application/vnd.openxmlformats-officedocument.drawingml.chart+xml"/>
  <Override PartName="/xl/drawings/drawing129.xml" ContentType="application/vnd.openxmlformats-officedocument.drawing+xml"/>
  <Override PartName="/xl/charts/chart98.xml" ContentType="application/vnd.openxmlformats-officedocument.drawingml.chart+xml"/>
  <Override PartName="/xl/drawings/drawing130.xml" ContentType="application/vnd.openxmlformats-officedocument.drawing+xml"/>
  <Override PartName="/xl/charts/chart99.xml" ContentType="application/vnd.openxmlformats-officedocument.drawingml.chart+xml"/>
  <Override PartName="/xl/drawings/drawing131.xml" ContentType="application/vnd.openxmlformats-officedocument.drawing+xml"/>
  <Override PartName="/xl/charts/chart100.xml" ContentType="application/vnd.openxmlformats-officedocument.drawingml.chart+xml"/>
  <Override PartName="/xl/drawings/drawing132.xml" ContentType="application/vnd.openxmlformats-officedocument.drawingml.chartshapes+xml"/>
  <Override PartName="/xl/drawings/drawing133.xml" ContentType="application/vnd.openxmlformats-officedocument.drawing+xml"/>
  <Override PartName="/xl/charts/chart101.xml" ContentType="application/vnd.openxmlformats-officedocument.drawingml.chart+xml"/>
  <Override PartName="/xl/drawings/drawing134.xml" ContentType="application/vnd.openxmlformats-officedocument.drawing+xml"/>
  <Override PartName="/xl/charts/chart102.xml" ContentType="application/vnd.openxmlformats-officedocument.drawingml.chart+xml"/>
  <Override PartName="/xl/drawings/drawing135.xml" ContentType="application/vnd.openxmlformats-officedocument.drawing+xml"/>
  <Override PartName="/xl/charts/chart103.xml" ContentType="application/vnd.openxmlformats-officedocument.drawingml.chart+xml"/>
  <Override PartName="/xl/drawings/drawing136.xml" ContentType="application/vnd.openxmlformats-officedocument.drawing+xml"/>
  <Override PartName="/xl/charts/chart104.xml" ContentType="application/vnd.openxmlformats-officedocument.drawingml.chart+xml"/>
  <Override PartName="/xl/drawings/drawing137.xml" ContentType="application/vnd.openxmlformats-officedocument.drawing+xml"/>
  <Override PartName="/xl/charts/chart105.xml" ContentType="application/vnd.openxmlformats-officedocument.drawingml.chart+xml"/>
  <Override PartName="/xl/drawings/drawing138.xml" ContentType="application/vnd.openxmlformats-officedocument.drawing+xml"/>
  <Override PartName="/xl/charts/chart106.xml" ContentType="application/vnd.openxmlformats-officedocument.drawingml.chart+xml"/>
  <Override PartName="/xl/drawings/drawing139.xml" ContentType="application/vnd.openxmlformats-officedocument.drawing+xml"/>
  <Override PartName="/xl/charts/chart107.xml" ContentType="application/vnd.openxmlformats-officedocument.drawingml.chart+xml"/>
  <Override PartName="/xl/drawings/drawing140.xml" ContentType="application/vnd.openxmlformats-officedocument.drawing+xml"/>
  <Override PartName="/xl/charts/chart108.xml" ContentType="application/vnd.openxmlformats-officedocument.drawingml.chart+xml"/>
  <Override PartName="/xl/drawings/drawing141.xml" ContentType="application/vnd.openxmlformats-officedocument.drawing+xml"/>
  <Override PartName="/xl/charts/chart109.xml" ContentType="application/vnd.openxmlformats-officedocument.drawingml.chart+xml"/>
  <Override PartName="/xl/drawings/drawing142.xml" ContentType="application/vnd.openxmlformats-officedocument.drawing+xml"/>
  <Override PartName="/xl/charts/chart110.xml" ContentType="application/vnd.openxmlformats-officedocument.drawingml.chart+xml"/>
  <Override PartName="/xl/drawings/drawing143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44.xml" ContentType="application/vnd.openxmlformats-officedocument.drawing+xml"/>
  <Override PartName="/xl/charts/chart113.xml" ContentType="application/vnd.openxmlformats-officedocument.drawingml.chart+xml"/>
  <Override PartName="/xl/drawings/drawing145.xml" ContentType="application/vnd.openxmlformats-officedocument.drawing+xml"/>
  <Override PartName="/xl/charts/chart114.xml" ContentType="application/vnd.openxmlformats-officedocument.drawingml.chart+xml"/>
  <Override PartName="/xl/drawings/drawing146.xml" ContentType="application/vnd.openxmlformats-officedocument.drawing+xml"/>
  <Override PartName="/xl/charts/chart115.xml" ContentType="application/vnd.openxmlformats-officedocument.drawingml.chart+xml"/>
  <Override PartName="/xl/drawings/drawing147.xml" ContentType="application/vnd.openxmlformats-officedocument.drawing+xml"/>
  <Override PartName="/xl/charts/chart116.xml" ContentType="application/vnd.openxmlformats-officedocument.drawingml.chart+xml"/>
  <Override PartName="/xl/drawings/drawing148.xml" ContentType="application/vnd.openxmlformats-officedocument.drawing+xml"/>
  <Override PartName="/xl/charts/chart117.xml" ContentType="application/vnd.openxmlformats-officedocument.drawingml.chart+xml"/>
  <Override PartName="/xl/drawings/drawing149.xml" ContentType="application/vnd.openxmlformats-officedocument.drawing+xml"/>
  <Override PartName="/xl/charts/chart118.xml" ContentType="application/vnd.openxmlformats-officedocument.drawingml.chart+xml"/>
  <Override PartName="/xl/drawings/drawing150.xml" ContentType="application/vnd.openxmlformats-officedocument.drawing+xml"/>
  <Override PartName="/xl/charts/chart119.xml" ContentType="application/vnd.openxmlformats-officedocument.drawingml.chart+xml"/>
  <Override PartName="/xl/drawings/drawing151.xml" ContentType="application/vnd.openxmlformats-officedocument.drawing+xml"/>
  <Override PartName="/xl/charts/chart120.xml" ContentType="application/vnd.openxmlformats-officedocument.drawingml.chart+xml"/>
  <Override PartName="/xl/drawings/drawing152.xml" ContentType="application/vnd.openxmlformats-officedocument.drawing+xml"/>
  <Override PartName="/xl/charts/chart121.xml" ContentType="application/vnd.openxmlformats-officedocument.drawingml.chart+xml"/>
  <Override PartName="/xl/drawings/drawing153.xml" ContentType="application/vnd.openxmlformats-officedocument.drawing+xml"/>
  <Override PartName="/xl/charts/chart122.xml" ContentType="application/vnd.openxmlformats-officedocument.drawingml.chart+xml"/>
  <Override PartName="/xl/drawings/drawing154.xml" ContentType="application/vnd.openxmlformats-officedocument.drawing+xml"/>
  <Override PartName="/xl/charts/chart123.xml" ContentType="application/vnd.openxmlformats-officedocument.drawingml.chart+xml"/>
  <Override PartName="/xl/theme/themeOverride34.xml" ContentType="application/vnd.openxmlformats-officedocument.themeOverride+xml"/>
  <Override PartName="/xl/drawings/drawing155.xml" ContentType="application/vnd.openxmlformats-officedocument.drawing+xml"/>
  <Override PartName="/xl/charts/chart124.xml" ContentType="application/vnd.openxmlformats-officedocument.drawingml.chart+xml"/>
  <Override PartName="/xl/drawings/drawing156.xml" ContentType="application/vnd.openxmlformats-officedocument.drawing+xml"/>
  <Override PartName="/xl/charts/chart125.xml" ContentType="application/vnd.openxmlformats-officedocument.drawingml.chart+xml"/>
  <Override PartName="/xl/drawings/drawing157.xml" ContentType="application/vnd.openxmlformats-officedocument.drawing+xml"/>
  <Override PartName="/xl/charts/chart126.xml" ContentType="application/vnd.openxmlformats-officedocument.drawingml.chart+xml"/>
  <Override PartName="/xl/drawings/drawing158.xml" ContentType="application/vnd.openxmlformats-officedocument.drawing+xml"/>
  <Override PartName="/xl/charts/chart127.xml" ContentType="application/vnd.openxmlformats-officedocument.drawingml.chart+xml"/>
  <Override PartName="/xl/drawings/drawing159.xml" ContentType="application/vnd.openxmlformats-officedocument.drawing+xml"/>
  <Override PartName="/xl/charts/chart128.xml" ContentType="application/vnd.openxmlformats-officedocument.drawingml.chart+xml"/>
  <Override PartName="/xl/theme/themeOverride35.xml" ContentType="application/vnd.openxmlformats-officedocument.themeOverride+xml"/>
  <Override PartName="/xl/drawings/drawing160.xml" ContentType="application/vnd.openxmlformats-officedocument.drawing+xml"/>
  <Override PartName="/xl/charts/chart129.xml" ContentType="application/vnd.openxmlformats-officedocument.drawingml.chart+xml"/>
  <Override PartName="/xl/drawings/drawing161.xml" ContentType="application/vnd.openxmlformats-officedocument.drawing+xml"/>
  <Override PartName="/xl/charts/chart130.xml" ContentType="application/vnd.openxmlformats-officedocument.drawingml.chart+xml"/>
  <Override PartName="/xl/drawings/drawing162.xml" ContentType="application/vnd.openxmlformats-officedocument.drawing+xml"/>
  <Override PartName="/xl/charts/chart131.xml" ContentType="application/vnd.openxmlformats-officedocument.drawingml.chart+xml"/>
  <Override PartName="/xl/drawings/drawing163.xml" ContentType="application/vnd.openxmlformats-officedocument.drawing+xml"/>
  <Override PartName="/xl/charts/chart132.xml" ContentType="application/vnd.openxmlformats-officedocument.drawingml.chart+xml"/>
  <Override PartName="/xl/drawings/drawing164.xml" ContentType="application/vnd.openxmlformats-officedocument.drawing+xml"/>
  <Override PartName="/xl/charts/chart133.xml" ContentType="application/vnd.openxmlformats-officedocument.drawingml.chart+xml"/>
  <Override PartName="/xl/drawings/drawing165.xml" ContentType="application/vnd.openxmlformats-officedocument.drawing+xml"/>
  <Override PartName="/xl/charts/chart134.xml" ContentType="application/vnd.openxmlformats-officedocument.drawingml.chart+xml"/>
  <Override PartName="/xl/drawings/drawing166.xml" ContentType="application/vnd.openxmlformats-officedocument.drawing+xml"/>
  <Override PartName="/xl/charts/chart135.xml" ContentType="application/vnd.openxmlformats-officedocument.drawingml.chart+xml"/>
  <Override PartName="/xl/drawings/drawing167.xml" ContentType="application/vnd.openxmlformats-officedocument.drawing+xml"/>
  <Override PartName="/xl/charts/chart136.xml" ContentType="application/vnd.openxmlformats-officedocument.drawingml.chart+xml"/>
  <Override PartName="/xl/drawings/drawing168.xml" ContentType="application/vnd.openxmlformats-officedocument.drawing+xml"/>
  <Override PartName="/xl/charts/chart137.xml" ContentType="application/vnd.openxmlformats-officedocument.drawingml.chart+xml"/>
  <Override PartName="/xl/drawings/drawing169.xml" ContentType="application/vnd.openxmlformats-officedocument.drawing+xml"/>
  <Override PartName="/xl/charts/chart138.xml" ContentType="application/vnd.openxmlformats-officedocument.drawingml.chart+xml"/>
  <Override PartName="/xl/drawings/drawing170.xml" ContentType="application/vnd.openxmlformats-officedocument.drawing+xml"/>
  <Override PartName="/xl/charts/chart139.xml" ContentType="application/vnd.openxmlformats-officedocument.drawingml.chart+xml"/>
  <Override PartName="/xl/drawings/drawing171.xml" ContentType="application/vnd.openxmlformats-officedocument.drawing+xml"/>
  <Override PartName="/xl/charts/chart140.xml" ContentType="application/vnd.openxmlformats-officedocument.drawingml.chart+xml"/>
  <Override PartName="/xl/drawings/drawing172.xml" ContentType="application/vnd.openxmlformats-officedocument.drawing+xml"/>
  <Override PartName="/xl/charts/chart141.xml" ContentType="application/vnd.openxmlformats-officedocument.drawingml.chart+xml"/>
  <Override PartName="/xl/drawings/drawing173.xml" ContentType="application/vnd.openxmlformats-officedocument.drawing+xml"/>
  <Override PartName="/xl/charts/chart142.xml" ContentType="application/vnd.openxmlformats-officedocument.drawingml.chart+xml"/>
  <Override PartName="/xl/drawings/drawing174.xml" ContentType="application/vnd.openxmlformats-officedocument.drawing+xml"/>
  <Override PartName="/xl/charts/chart143.xml" ContentType="application/vnd.openxmlformats-officedocument.drawingml.chart+xml"/>
  <Override PartName="/xl/drawings/drawing175.xml" ContentType="application/vnd.openxmlformats-officedocument.drawing+xml"/>
  <Override PartName="/xl/charts/chart144.xml" ContentType="application/vnd.openxmlformats-officedocument.drawingml.chart+xml"/>
  <Override PartName="/xl/drawings/drawing176.xml" ContentType="application/vnd.openxmlformats-officedocument.drawing+xml"/>
  <Override PartName="/xl/charts/chart145.xml" ContentType="application/vnd.openxmlformats-officedocument.drawingml.chart+xml"/>
  <Override PartName="/xl/drawings/drawing177.xml" ContentType="application/vnd.openxmlformats-officedocument.drawing+xml"/>
  <Override PartName="/xl/charts/chart146.xml" ContentType="application/vnd.openxmlformats-officedocument.drawingml.chart+xml"/>
  <Override PartName="/xl/drawings/drawing178.xml" ContentType="application/vnd.openxmlformats-officedocument.drawingml.chartshapes+xml"/>
  <Override PartName="/xl/drawings/drawing179.xml" ContentType="application/vnd.openxmlformats-officedocument.drawing+xml"/>
  <Override PartName="/xl/charts/chart147.xml" ContentType="application/vnd.openxmlformats-officedocument.drawingml.chart+xml"/>
  <Override PartName="/xl/drawings/drawing180.xml" ContentType="application/vnd.openxmlformats-officedocument.drawing+xml"/>
  <Override PartName="/xl/charts/chart148.xml" ContentType="application/vnd.openxmlformats-officedocument.drawingml.chart+xml"/>
  <Override PartName="/xl/drawings/drawing181.xml" ContentType="application/vnd.openxmlformats-officedocument.drawing+xml"/>
  <Override PartName="/xl/charts/chart149.xml" ContentType="application/vnd.openxmlformats-officedocument.drawingml.chart+xml"/>
  <Override PartName="/xl/drawings/drawing182.xml" ContentType="application/vnd.openxmlformats-officedocument.drawing+xml"/>
  <Override PartName="/xl/charts/chart150.xml" ContentType="application/vnd.openxmlformats-officedocument.drawingml.chart+xml"/>
  <Override PartName="/xl/drawings/drawing183.xml" ContentType="application/vnd.openxmlformats-officedocument.drawing+xml"/>
  <Override PartName="/xl/charts/chart151.xml" ContentType="application/vnd.openxmlformats-officedocument.drawingml.chart+xml"/>
  <Override PartName="/xl/drawings/drawing184.xml" ContentType="application/vnd.openxmlformats-officedocument.drawing+xml"/>
  <Override PartName="/xl/charts/chart152.xml" ContentType="application/vnd.openxmlformats-officedocument.drawingml.chart+xml"/>
  <Override PartName="/xl/drawings/drawing185.xml" ContentType="application/vnd.openxmlformats-officedocument.drawingml.chartshapes+xml"/>
  <Override PartName="/xl/drawings/drawing186.xml" ContentType="application/vnd.openxmlformats-officedocument.drawing+xml"/>
  <Override PartName="/xl/charts/chart153.xml" ContentType="application/vnd.openxmlformats-officedocument.drawingml.chart+xml"/>
  <Override PartName="/xl/drawings/drawing187.xml" ContentType="application/vnd.openxmlformats-officedocument.drawing+xml"/>
  <Override PartName="/xl/charts/chart154.xml" ContentType="application/vnd.openxmlformats-officedocument.drawingml.chart+xml"/>
  <Override PartName="/xl/drawings/drawing188.xml" ContentType="application/vnd.openxmlformats-officedocument.drawingml.chartshapes+xml"/>
  <Override PartName="/xl/drawings/drawing189.xml" ContentType="application/vnd.openxmlformats-officedocument.drawing+xml"/>
  <Override PartName="/xl/charts/chart155.xml" ContentType="application/vnd.openxmlformats-officedocument.drawingml.chart+xml"/>
  <Override PartName="/xl/drawings/drawing190.xml" ContentType="application/vnd.openxmlformats-officedocument.drawing+xml"/>
  <Override PartName="/xl/charts/chart156.xml" ContentType="application/vnd.openxmlformats-officedocument.drawingml.chart+xml"/>
  <Override PartName="/xl/drawings/drawing191.xml" ContentType="application/vnd.openxmlformats-officedocument.drawing+xml"/>
  <Override PartName="/xl/charts/chart157.xml" ContentType="application/vnd.openxmlformats-officedocument.drawingml.chart+xml"/>
  <Override PartName="/xl/drawings/drawing192.xml" ContentType="application/vnd.openxmlformats-officedocument.drawing+xml"/>
  <Override PartName="/xl/charts/chart158.xml" ContentType="application/vnd.openxmlformats-officedocument.drawingml.chart+xml"/>
  <Override PartName="/xl/drawings/drawing193.xml" ContentType="application/vnd.openxmlformats-officedocument.drawing+xml"/>
  <Override PartName="/xl/charts/chart159.xml" ContentType="application/vnd.openxmlformats-officedocument.drawingml.chart+xml"/>
  <Override PartName="/xl/drawings/drawing194.xml" ContentType="application/vnd.openxmlformats-officedocument.drawing+xml"/>
  <Override PartName="/xl/charts/chart16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5.xml" ContentType="application/vnd.openxmlformats-officedocument.drawing+xml"/>
  <Override PartName="/xl/charts/chart161.xml" ContentType="application/vnd.openxmlformats-officedocument.drawingml.chart+xml"/>
  <Override PartName="/xl/drawings/drawing196.xml" ContentType="application/vnd.openxmlformats-officedocument.drawing+xml"/>
  <Override PartName="/xl/charts/chart16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97.xml" ContentType="application/vnd.openxmlformats-officedocument.drawing+xml"/>
  <Override PartName="/xl/charts/chart16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98.xml" ContentType="application/vnd.openxmlformats-officedocument.drawing+xml"/>
  <Override PartName="/xl/charts/chart16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99.xml" ContentType="application/vnd.openxmlformats-officedocument.drawing+xml"/>
  <Override PartName="/xl/charts/chart165.xml" ContentType="application/vnd.openxmlformats-officedocument.drawingml.chart+xml"/>
  <Override PartName="/xl/drawings/drawing200.xml" ContentType="application/vnd.openxmlformats-officedocument.drawing+xml"/>
  <Override PartName="/xl/charts/chart16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01.xml" ContentType="application/vnd.openxmlformats-officedocument.drawing+xml"/>
  <Override PartName="/xl/charts/chart16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2.xml" ContentType="application/vnd.openxmlformats-officedocument.drawing+xml"/>
  <Override PartName="/xl/charts/chart16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3.xml" ContentType="application/vnd.openxmlformats-officedocument.drawing+xml"/>
  <Override PartName="/xl/charts/chart16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04.xml" ContentType="application/vnd.openxmlformats-officedocument.drawing+xml"/>
  <Override PartName="/xl/charts/chart17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05.xml" ContentType="application/vnd.openxmlformats-officedocument.drawing+xml"/>
  <Override PartName="/xl/charts/chart17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6.xml" ContentType="application/vnd.openxmlformats-officedocument.drawing+xml"/>
  <Override PartName="/xl/charts/chart17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7.xml" ContentType="application/vnd.openxmlformats-officedocument.drawing+xml"/>
  <Override PartName="/xl/charts/chart17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8.xml" ContentType="application/vnd.openxmlformats-officedocument.drawing+xml"/>
  <Override PartName="/xl/charts/chart17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9.xml" ContentType="application/vnd.openxmlformats-officedocument.drawing+xml"/>
  <Override PartName="/xl/charts/chart17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0.xml" ContentType="application/vnd.openxmlformats-officedocument.drawing+xml"/>
  <Override PartName="/xl/charts/chart17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1.xml" ContentType="application/vnd.openxmlformats-officedocument.drawing+xml"/>
  <Override PartName="/xl/charts/chart17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2.xml" ContentType="application/vnd.openxmlformats-officedocument.drawing+xml"/>
  <Override PartName="/xl/charts/chart17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3.xml" ContentType="application/vnd.openxmlformats-officedocument.drawing+xml"/>
  <Override PartName="/xl/charts/chart17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4.xml" ContentType="application/vnd.openxmlformats-officedocument.drawing+xml"/>
  <Override PartName="/xl/charts/chart18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5.xml" ContentType="application/vnd.openxmlformats-officedocument.drawing+xml"/>
  <Override PartName="/xl/charts/chart181.xml" ContentType="application/vnd.openxmlformats-officedocument.drawingml.chart+xml"/>
  <Override PartName="/xl/drawings/drawing216.xml" ContentType="application/vnd.openxmlformats-officedocument.drawing+xml"/>
  <Override PartName="/xl/charts/chart182.xml" ContentType="application/vnd.openxmlformats-officedocument.drawingml.chart+xml"/>
  <Override PartName="/xl/drawings/drawing217.xml" ContentType="application/vnd.openxmlformats-officedocument.drawing+xml"/>
  <Override PartName="/xl/charts/chart18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8.xml" ContentType="application/vnd.openxmlformats-officedocument.drawing+xml"/>
  <Override PartName="/xl/charts/chart18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9.xml" ContentType="application/vnd.openxmlformats-officedocument.drawing+xml"/>
  <Override PartName="/xl/charts/chart18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20.xml" ContentType="application/vnd.openxmlformats-officedocument.drawing+xml"/>
  <Override PartName="/xl/charts/chart18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1.xml" ContentType="application/vnd.openxmlformats-officedocument.drawing+xml"/>
  <Override PartName="/xl/charts/chart18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2.xml" ContentType="application/vnd.openxmlformats-officedocument.drawing+xml"/>
  <Override PartName="/xl/charts/chart18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23.xml" ContentType="application/vnd.openxmlformats-officedocument.drawing+xml"/>
  <Override PartName="/xl/charts/chart18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24.xml" ContentType="application/vnd.openxmlformats-officedocument.drawing+xml"/>
  <Override PartName="/xl/charts/chart190.xml" ContentType="application/vnd.openxmlformats-officedocument.drawingml.chart+xml"/>
  <Override PartName="/xl/drawings/drawing225.xml" ContentType="application/vnd.openxmlformats-officedocument.drawing+xml"/>
  <Override PartName="/xl/charts/chart191.xml" ContentType="application/vnd.openxmlformats-officedocument.drawingml.chart+xml"/>
  <Override PartName="/xl/drawings/drawing226.xml" ContentType="application/vnd.openxmlformats-officedocument.drawing+xml"/>
  <Override PartName="/xl/charts/chart192.xml" ContentType="application/vnd.openxmlformats-officedocument.drawingml.chart+xml"/>
  <Override PartName="/xl/drawings/drawing227.xml" ContentType="application/vnd.openxmlformats-officedocument.drawing+xml"/>
  <Override PartName="/xl/charts/chart19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28.xml" ContentType="application/vnd.openxmlformats-officedocument.drawing+xml"/>
  <Override PartName="/xl/charts/chart194.xml" ContentType="application/vnd.openxmlformats-officedocument.drawingml.chart+xml"/>
  <Override PartName="/xl/drawings/drawing229.xml" ContentType="application/vnd.openxmlformats-officedocument.drawing+xml"/>
  <Override PartName="/xl/charts/chart19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30.xml" ContentType="application/vnd.openxmlformats-officedocument.drawing+xml"/>
  <Override PartName="/xl/charts/chart19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31.xml" ContentType="application/vnd.openxmlformats-officedocument.drawing+xml"/>
  <Override PartName="/xl/charts/chart19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32.xml" ContentType="application/vnd.openxmlformats-officedocument.drawing+xml"/>
  <Override PartName="/xl/charts/chart19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33.xml" ContentType="application/vnd.openxmlformats-officedocument.drawing+xml"/>
  <Override PartName="/xl/charts/chart19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34.xml" ContentType="application/vnd.openxmlformats-officedocument.drawing+xml"/>
  <Override PartName="/xl/charts/chart20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35.xml" ContentType="application/vnd.openxmlformats-officedocument.drawing+xml"/>
  <Override PartName="/xl/charts/chart20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6.xml" ContentType="application/vnd.openxmlformats-officedocument.drawing+xml"/>
  <Override PartName="/xl/charts/chart20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7.xml" ContentType="application/vnd.openxmlformats-officedocument.drawing+xml"/>
  <Override PartName="/xl/charts/chart20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38.xml" ContentType="application/vnd.openxmlformats-officedocument.drawing+xml"/>
  <Override PartName="/xl/charts/chart2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39.xml" ContentType="application/vnd.openxmlformats-officedocument.drawing+xml"/>
  <Override PartName="/xl/charts/chart2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0.xml" ContentType="application/vnd.openxmlformats-officedocument.drawing+xml"/>
  <Override PartName="/xl/charts/chart2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41.xml" ContentType="application/vnd.openxmlformats-officedocument.drawing+xml"/>
  <Override PartName="/xl/charts/chart2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42.xml" ContentType="application/vnd.openxmlformats-officedocument.drawing+xml"/>
  <Override PartName="/xl/charts/chart2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43.xml" ContentType="application/vnd.openxmlformats-officedocument.drawing+xml"/>
  <Override PartName="/xl/charts/chart20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4.xml" ContentType="application/vnd.openxmlformats-officedocument.drawing+xml"/>
  <Override PartName="/xl/charts/chart21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5.xml" ContentType="application/vnd.openxmlformats-officedocument.drawing+xml"/>
  <Override PartName="/xl/charts/chart21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46.xml" ContentType="application/vnd.openxmlformats-officedocument.drawing+xml"/>
  <Override PartName="/xl/charts/chart21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7.xml" ContentType="application/vnd.openxmlformats-officedocument.drawing+xml"/>
  <Override PartName="/xl/charts/chart21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48.xml" ContentType="application/vnd.openxmlformats-officedocument.drawing+xml"/>
  <Override PartName="/xl/charts/chart21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49.xml" ContentType="application/vnd.openxmlformats-officedocument.drawing+xml"/>
  <Override PartName="/xl/charts/chart21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50.xml" ContentType="application/vnd.openxmlformats-officedocument.drawing+xml"/>
  <Override PartName="/xl/charts/chart21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51.xml" ContentType="application/vnd.openxmlformats-officedocument.drawing+xml"/>
  <Override PartName="/xl/charts/chart21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52.xml" ContentType="application/vnd.openxmlformats-officedocument.drawing+xml"/>
  <Override PartName="/xl/charts/chart21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53.xml" ContentType="application/vnd.openxmlformats-officedocument.drawing+xml"/>
  <Override PartName="/xl/charts/chart21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4.xml" ContentType="application/vnd.openxmlformats-officedocument.drawing+xml"/>
  <Override PartName="/xl/charts/chart22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55.xml" ContentType="application/vnd.openxmlformats-officedocument.drawing+xml"/>
  <Override PartName="/xl/charts/chart22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56.xml" ContentType="application/vnd.openxmlformats-officedocument.drawing+xml"/>
  <Override PartName="/xl/charts/chart22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57.xml" ContentType="application/vnd.openxmlformats-officedocument.drawing+xml"/>
  <Override PartName="/xl/charts/chart22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58.xml" ContentType="application/vnd.openxmlformats-officedocument.drawing+xml"/>
  <Override PartName="/xl/charts/chart22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59.xml" ContentType="application/vnd.openxmlformats-officedocument.drawing+xml"/>
  <Override PartName="/xl/charts/chart22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vcdf1001\ANAC\SAS\GEAC\Anuários\2018\"/>
    </mc:Choice>
  </mc:AlternateContent>
  <xr:revisionPtr revIDLastSave="0" documentId="13_ncr:1_{FAF9974E-C638-46A0-AB1C-15B8281C99C6}" xr6:coauthVersionLast="41" xr6:coauthVersionMax="41" xr10:uidLastSave="{00000000-0000-0000-0000-000000000000}"/>
  <bookViews>
    <workbookView xWindow="-28920" yWindow="-120" windowWidth="29040" windowHeight="15840" tabRatio="833" xr2:uid="{00000000-000D-0000-FFFF-FFFF00000000}"/>
  </bookViews>
  <sheets>
    <sheet name="Índice" sheetId="1" r:id="rId1"/>
    <sheet name="Fig 1.1" sheetId="6" r:id="rId2"/>
    <sheet name="Fig 1.2" sheetId="7" r:id="rId3"/>
    <sheet name="Fig 1.3" sheetId="197" r:id="rId4"/>
    <sheet name="Fig 1.4" sheetId="8" r:id="rId5"/>
    <sheet name="Fig 1.5" sheetId="9" r:id="rId6"/>
    <sheet name="Fig 1.6" sheetId="10" r:id="rId7"/>
    <sheet name="Fig 1.7" sheetId="11" r:id="rId8"/>
    <sheet name="Tab 1.1" sheetId="196" r:id="rId9"/>
    <sheet name="Tab 1.2" sheetId="195" r:id="rId10"/>
    <sheet name="Tab 1.3" sheetId="277" r:id="rId11"/>
    <sheet name="Fig 2.1" sheetId="343" r:id="rId12"/>
    <sheet name="Fig 2.2" sheetId="344" r:id="rId13"/>
    <sheet name="Fig 2.3" sheetId="345" r:id="rId14"/>
    <sheet name="Fig 2.4" sheetId="17" r:id="rId15"/>
    <sheet name="Fig 2.5" sheetId="18" r:id="rId16"/>
    <sheet name="Fig 2.6" sheetId="19" r:id="rId17"/>
    <sheet name="Fig 2.7" sheetId="20" r:id="rId18"/>
    <sheet name="Fig 2.8" sheetId="21" r:id="rId19"/>
    <sheet name="Fig 2.9" sheetId="22" r:id="rId20"/>
    <sheet name="Fig 2.10" sheetId="303" r:id="rId21"/>
    <sheet name="Fig 2.11" sheetId="23" r:id="rId22"/>
    <sheet name="IBGE POP PIB" sheetId="340" state="hidden" r:id="rId23"/>
    <sheet name="Fig 2.12" sheetId="162" r:id="rId24"/>
    <sheet name="Fig 2.13" sheetId="24" r:id="rId25"/>
    <sheet name="Fig 2.14" sheetId="25" r:id="rId26"/>
    <sheet name="Fig 2.15" sheetId="26" r:id="rId27"/>
    <sheet name="Fig 2.16" sheetId="27" r:id="rId28"/>
    <sheet name="Fig 2.17" sheetId="28" r:id="rId29"/>
    <sheet name="Fig 2.18" sheetId="29" r:id="rId30"/>
    <sheet name="Fig 2.19" sheetId="30" r:id="rId31"/>
    <sheet name="Fig 2.20" sheetId="31" r:id="rId32"/>
    <sheet name="Fig 2.21" sheetId="32" r:id="rId33"/>
    <sheet name="Fig 2.22" sheetId="33" r:id="rId34"/>
    <sheet name="Fig 2.23" sheetId="34" r:id="rId35"/>
    <sheet name="Fig 2.24" sheetId="35" r:id="rId36"/>
    <sheet name="Fig 2.25" sheetId="36" r:id="rId37"/>
    <sheet name="Fig 2.26" sheetId="37" r:id="rId38"/>
    <sheet name="Fig 2.27" sheetId="38" r:id="rId39"/>
    <sheet name="Fig 2.28" sheetId="39" r:id="rId40"/>
    <sheet name="Fig 2.29" sheetId="40" r:id="rId41"/>
    <sheet name="Fig 2.30" sheetId="41" r:id="rId42"/>
    <sheet name="Fig 2.31" sheetId="42" r:id="rId43"/>
    <sheet name="Fig 2.32" sheetId="43" r:id="rId44"/>
    <sheet name="Fig 2.33" sheetId="44" r:id="rId45"/>
    <sheet name="Fig 2.34" sheetId="45" r:id="rId46"/>
    <sheet name="Fig 2.35" sheetId="46" r:id="rId47"/>
    <sheet name="Fig 2.36" sheetId="47" r:id="rId48"/>
    <sheet name="Fig 2.37" sheetId="48" r:id="rId49"/>
    <sheet name="Fig 2.38" sheetId="49" r:id="rId50"/>
    <sheet name="Fig 2.39" sheetId="50" r:id="rId51"/>
    <sheet name="Fig 2.40" sheetId="51" r:id="rId52"/>
    <sheet name="Fig 2.41" sheetId="52" r:id="rId53"/>
    <sheet name="Fig 2.42" sheetId="53" r:id="rId54"/>
    <sheet name="Fig 2.43" sheetId="54" r:id="rId55"/>
    <sheet name="Fig 2.44" sheetId="56" r:id="rId56"/>
    <sheet name="Fig 2.45" sheetId="57" r:id="rId57"/>
    <sheet name="Fig 3.1" sheetId="58" r:id="rId58"/>
    <sheet name="Fig 3.2" sheetId="59" r:id="rId59"/>
    <sheet name="Fig 3.3" sheetId="60" r:id="rId60"/>
    <sheet name="Fig 3.4" sheetId="61" r:id="rId61"/>
    <sheet name="Fig 3.5" sheetId="62" r:id="rId62"/>
    <sheet name="Fig 3.6" sheetId="63" r:id="rId63"/>
    <sheet name="Fig 3.7" sheetId="64" r:id="rId64"/>
    <sheet name="Fig 3.8" sheetId="65" r:id="rId65"/>
    <sheet name="Fig 3.9" sheetId="66" r:id="rId66"/>
    <sheet name="Fig 3.10" sheetId="68" r:id="rId67"/>
    <sheet name="Fig 3.11" sheetId="69" r:id="rId68"/>
    <sheet name="Fig 3.12" sheetId="70" r:id="rId69"/>
    <sheet name="Fig 3.13" sheetId="71" r:id="rId70"/>
    <sheet name="Fig 3.14" sheetId="72" r:id="rId71"/>
    <sheet name="Fig 3.15" sheetId="73" r:id="rId72"/>
    <sheet name="Fig 3.16" sheetId="229" r:id="rId73"/>
    <sheet name="Fig 3.17" sheetId="230" r:id="rId74"/>
    <sheet name="Fig 3.18" sheetId="231" r:id="rId75"/>
    <sheet name="Fig 3.19" sheetId="77" r:id="rId76"/>
    <sheet name="Fig 3.20" sheetId="78" r:id="rId77"/>
    <sheet name="Fig 3.21" sheetId="79" r:id="rId78"/>
    <sheet name="Fig 3.22" sheetId="80" r:id="rId79"/>
    <sheet name="Fig 3.23" sheetId="81" r:id="rId80"/>
    <sheet name="Fig 3.24" sheetId="82" r:id="rId81"/>
    <sheet name="Fig 3.25" sheetId="83" r:id="rId82"/>
    <sheet name="Fig 3.26" sheetId="85" r:id="rId83"/>
    <sheet name="Fig 3.27" sheetId="86" r:id="rId84"/>
    <sheet name="Fig 3.28" sheetId="87" r:id="rId85"/>
    <sheet name="Fig 3.29" sheetId="88" r:id="rId86"/>
    <sheet name="Fig 3.30" sheetId="89" r:id="rId87"/>
    <sheet name="Fig 3.31" sheetId="90" r:id="rId88"/>
    <sheet name="Fig 3.32" sheetId="91" r:id="rId89"/>
    <sheet name="Fig 3.33" sheetId="92" r:id="rId90"/>
    <sheet name="Fig 3.34" sheetId="93" r:id="rId91"/>
    <sheet name="Fig 3.35" sheetId="94" r:id="rId92"/>
    <sheet name="Fig 3.36" sheetId="267" r:id="rId93"/>
    <sheet name="Fig 3.37" sheetId="95" r:id="rId94"/>
    <sheet name="Fig 3.38" sheetId="96" r:id="rId95"/>
    <sheet name="Fig 3.39" sheetId="97" r:id="rId96"/>
    <sheet name="Fig 3.40" sheetId="98" r:id="rId97"/>
    <sheet name="Fig 3.41" sheetId="99" r:id="rId98"/>
    <sheet name="Fig 3.42" sheetId="100" r:id="rId99"/>
    <sheet name="Fig 3.43" sheetId="101" r:id="rId100"/>
    <sheet name="Fig 3.44" sheetId="102" r:id="rId101"/>
    <sheet name="Fig 3.45" sheetId="103" r:id="rId102"/>
    <sheet name="Fig 3.46" sheetId="104" r:id="rId103"/>
    <sheet name="Fig 3.47" sheetId="105" r:id="rId104"/>
    <sheet name="Fig 3.48" sheetId="106" r:id="rId105"/>
    <sheet name="Fig 3.49" sheetId="107" r:id="rId106"/>
    <sheet name="Fig 3.50" sheetId="108" r:id="rId107"/>
    <sheet name="Fig 3.51" sheetId="109" r:id="rId108"/>
    <sheet name="Fig 3.52" sheetId="110" r:id="rId109"/>
    <sheet name="Fig 3.53" sheetId="111" r:id="rId110"/>
    <sheet name="Fig 3.54" sheetId="112" r:id="rId111"/>
    <sheet name="Fig 3.55" sheetId="113" r:id="rId112"/>
    <sheet name="Fig 3.56" sheetId="114" r:id="rId113"/>
    <sheet name="Fig 3.57" sheetId="115" r:id="rId114"/>
    <sheet name="Fig 3.58" sheetId="116" r:id="rId115"/>
    <sheet name="Fig 3.59" sheetId="198" r:id="rId116"/>
    <sheet name="Fig 3.60" sheetId="207" r:id="rId117"/>
    <sheet name="Fig 3.61" sheetId="208" r:id="rId118"/>
    <sheet name="Fig 3.62" sheetId="209" r:id="rId119"/>
    <sheet name="Fig 4.1" sheetId="117" r:id="rId120"/>
    <sheet name="Fig 4.2" sheetId="118" r:id="rId121"/>
    <sheet name="Fig 4.3" sheetId="119" r:id="rId122"/>
    <sheet name="Fig 4.4" sheetId="310" r:id="rId123"/>
    <sheet name="Fig 4.5" sheetId="120" r:id="rId124"/>
    <sheet name="Fig 4.6" sheetId="121" r:id="rId125"/>
    <sheet name="Fig 4.7" sheetId="122" r:id="rId126"/>
    <sheet name="Fig 4.8" sheetId="123" r:id="rId127"/>
    <sheet name="Fig 4.9" sheetId="124" r:id="rId128"/>
    <sheet name="Fig 4.10" sheetId="311" r:id="rId129"/>
    <sheet name="Fig 4.11" sheetId="125" r:id="rId130"/>
    <sheet name="Fig 4.12" sheetId="126" r:id="rId131"/>
    <sheet name="Fig 4.13" sheetId="312" r:id="rId132"/>
    <sheet name="Fig 4.14" sheetId="127" r:id="rId133"/>
    <sheet name="Fig 4.15" sheetId="313" r:id="rId134"/>
    <sheet name="Fig 4.16" sheetId="128" r:id="rId135"/>
    <sheet name="Fig 5.1" sheetId="129" r:id="rId136"/>
    <sheet name="Fig 5.2" sheetId="130" r:id="rId137"/>
    <sheet name="Fig 5.3" sheetId="131" r:id="rId138"/>
    <sheet name="Fig 5.4" sheetId="132" r:id="rId139"/>
    <sheet name="Fig 5.5" sheetId="203" r:id="rId140"/>
    <sheet name="Fig 5.6" sheetId="204" r:id="rId141"/>
    <sheet name="Fig 5.7" sheetId="205" r:id="rId142"/>
    <sheet name="Fig 5.8" sheetId="206" r:id="rId143"/>
    <sheet name="Fig 5.9" sheetId="199" r:id="rId144"/>
    <sheet name="Fig 5.10" sheetId="200" r:id="rId145"/>
    <sheet name="Fig 5.11" sheetId="201" r:id="rId146"/>
    <sheet name="Fig 5.12" sheetId="202" r:id="rId147"/>
    <sheet name="Fig 5.13" sheetId="133" r:id="rId148"/>
    <sheet name="Fig 5.14" sheetId="134" r:id="rId149"/>
    <sheet name="Fig 5.15" sheetId="135" r:id="rId150"/>
    <sheet name="Fig 5.16" sheetId="160" r:id="rId151"/>
    <sheet name="Fig 6.1" sheetId="136" r:id="rId152"/>
    <sheet name="Fig 6.2" sheetId="166" r:id="rId153"/>
    <sheet name="Fig 6.3" sheetId="316" r:id="rId154"/>
    <sheet name="Fig 6.4" sheetId="165" r:id="rId155"/>
    <sheet name="Fig 6.5" sheetId="318" r:id="rId156"/>
    <sheet name="Fig 6.6" sheetId="319" r:id="rId157"/>
    <sheet name="Fig 6.7" sheetId="137" r:id="rId158"/>
    <sheet name="Fig 6.8" sheetId="280" r:id="rId159"/>
    <sheet name="Fig 6.9" sheetId="314" r:id="rId160"/>
    <sheet name="Fig 6.10" sheetId="315" r:id="rId161"/>
    <sheet name="Fig 6.11" sheetId="317" r:id="rId162"/>
    <sheet name="Fig 6.12" sheetId="167" r:id="rId163"/>
    <sheet name="Fig 6.13" sheetId="320" r:id="rId164"/>
    <sheet name="Fig 6.14" sheetId="321" r:id="rId165"/>
    <sheet name="Fig 6.15" sheetId="139" r:id="rId166"/>
    <sheet name="Fig 6.16" sheetId="322" r:id="rId167"/>
    <sheet name="Fig 6.17" sheetId="330" r:id="rId168"/>
    <sheet name="Fig 6.18" sheetId="324" r:id="rId169"/>
    <sheet name="Fig 6.19" sheetId="331" r:id="rId170"/>
    <sheet name="Fig 6.20" sheetId="332" r:id="rId171"/>
    <sheet name="Fig 6.21" sheetId="333" r:id="rId172"/>
    <sheet name="Fig 6.22" sheetId="334" r:id="rId173"/>
    <sheet name="Fig 6.23" sheetId="335" r:id="rId174"/>
    <sheet name="Fig 6.24" sheetId="337" r:id="rId175"/>
    <sheet name="Fig 6.25" sheetId="271" r:id="rId176"/>
    <sheet name="Fig 6.26" sheetId="338" r:id="rId177"/>
    <sheet name="Fig 6.27" sheetId="284" r:id="rId178"/>
    <sheet name="Fig 6.28" sheetId="282" r:id="rId179"/>
    <sheet name="Fig 6.29" sheetId="281" r:id="rId180"/>
    <sheet name="Fig 6.30" sheetId="274" r:id="rId181"/>
    <sheet name="Fig 6.31" sheetId="276" r:id="rId182"/>
    <sheet name="Fig 6.32" sheetId="339" r:id="rId183"/>
    <sheet name="Fig 6.33" sheetId="297" r:id="rId184"/>
    <sheet name="Fig 6.34" sheetId="298" r:id="rId185"/>
    <sheet name="Fig 6.35" sheetId="299" r:id="rId186"/>
    <sheet name="Fig 7.1" sheetId="233" r:id="rId187"/>
    <sheet name="Fig 7.2" sheetId="234" r:id="rId188"/>
    <sheet name="Fig 7.3" sheetId="235" r:id="rId189"/>
    <sheet name="Fig 7.4" sheetId="236" r:id="rId190"/>
    <sheet name="Fig 7.5" sheetId="237" r:id="rId191"/>
    <sheet name="RECEITA PASSAGEM" sheetId="347" state="hidden" r:id="rId192"/>
    <sheet name="Fig 7.6" sheetId="238" r:id="rId193"/>
    <sheet name="Fig 7.7" sheetId="302" r:id="rId194"/>
    <sheet name="Fig 7.8" sheetId="301" r:id="rId195"/>
    <sheet name="Fig 7.9" sheetId="239" r:id="rId196"/>
    <sheet name="Fig 7.10" sheetId="240" r:id="rId197"/>
    <sheet name="Fig 7.11" sheetId="241" r:id="rId198"/>
    <sheet name="Fig 7.12" sheetId="309" r:id="rId199"/>
    <sheet name="Fig 7.13" sheetId="242" r:id="rId200"/>
    <sheet name="Fig 7.14" sheetId="243" r:id="rId201"/>
    <sheet name="Fig 7.15" sheetId="244" r:id="rId202"/>
    <sheet name="Fig 7.16" sheetId="245" r:id="rId203"/>
    <sheet name="Fig 7.17" sheetId="246" r:id="rId204"/>
    <sheet name="Fig 7.18" sheetId="247" r:id="rId205"/>
    <sheet name="Fig 7.19" sheetId="248" r:id="rId206"/>
    <sheet name="Fig 7.20" sheetId="305" r:id="rId207"/>
    <sheet name="Fig 7.21" sheetId="306" r:id="rId208"/>
    <sheet name="Fig 7.22" sheetId="307" r:id="rId209"/>
    <sheet name="Fig 7.23" sheetId="308" r:id="rId210"/>
    <sheet name="Fig 7.24" sheetId="253" r:id="rId211"/>
    <sheet name="Fig 7.25" sheetId="254" r:id="rId212"/>
    <sheet name="Fig 7.26" sheetId="251" r:id="rId213"/>
    <sheet name="Fig 7.27" sheetId="252" r:id="rId214"/>
    <sheet name="Fig 7.28" sheetId="272" r:id="rId215"/>
    <sheet name="Fig 7.29" sheetId="273" r:id="rId216"/>
    <sheet name="Fig 7.30" sheetId="255" r:id="rId217"/>
    <sheet name="Fig 7.31" sheetId="256" r:id="rId218"/>
    <sheet name="ASK ATK" sheetId="346" state="hidden" r:id="rId219"/>
    <sheet name="RECEITA E CUSTO" sheetId="342" state="hidden" r:id="rId220"/>
    <sheet name="Fig 7.32" sheetId="185" r:id="rId221"/>
    <sheet name="Fig 7.33" sheetId="186" r:id="rId222"/>
    <sheet name="Fig 7.34" sheetId="187" r:id="rId223"/>
    <sheet name="Fig 7.35" sheetId="188" r:id="rId224"/>
    <sheet name="Fig 7.36" sheetId="189" r:id="rId225"/>
    <sheet name="Fig 7.37" sheetId="190" r:id="rId226"/>
    <sheet name="Fig 7.38" sheetId="223" r:id="rId227"/>
    <sheet name="Fig 7.39" sheetId="224" r:id="rId228"/>
    <sheet name="Fig 7.40" sheetId="191" r:id="rId229"/>
    <sheet name="Fig 7.41" sheetId="192" r:id="rId230"/>
    <sheet name="Fig 7.42" sheetId="193" r:id="rId231"/>
    <sheet name="Fig 7.43" sheetId="194" r:id="rId232"/>
    <sheet name="Fig 7.44" sheetId="225" r:id="rId233"/>
    <sheet name="Fig 7.45" sheetId="226" r:id="rId234"/>
    <sheet name="Fim" sheetId="228" state="hidden" r:id="rId2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89" l="1"/>
  <c r="A3" i="192"/>
  <c r="H14" i="242" l="1"/>
  <c r="G14" i="242"/>
  <c r="F14" i="242"/>
  <c r="E14" i="242"/>
  <c r="D14" i="242"/>
  <c r="C14" i="242"/>
  <c r="C33" i="32" l="1"/>
  <c r="B33" i="32"/>
  <c r="A3" i="191" l="1"/>
  <c r="A4" i="224"/>
  <c r="A3" i="224"/>
  <c r="A4" i="223"/>
  <c r="A3" i="223"/>
  <c r="A4" i="190"/>
  <c r="A3" i="190"/>
  <c r="A4" i="188"/>
  <c r="A3" i="188"/>
  <c r="A4" i="189"/>
  <c r="A4" i="187"/>
  <c r="A3" i="187"/>
  <c r="A3" i="186" l="1"/>
  <c r="A4" i="186"/>
  <c r="A3" i="185"/>
  <c r="A4" i="185"/>
  <c r="B13" i="234"/>
  <c r="B12" i="234"/>
  <c r="B11" i="234"/>
  <c r="B10" i="234"/>
  <c r="B9" i="234"/>
  <c r="B8" i="234"/>
  <c r="B7" i="234"/>
  <c r="B6" i="234"/>
  <c r="B14" i="234"/>
  <c r="G15" i="251" l="1"/>
  <c r="J12" i="236"/>
  <c r="F7" i="308" l="1"/>
  <c r="F6" i="308"/>
  <c r="F5" i="308"/>
  <c r="F9" i="305"/>
  <c r="H14" i="245"/>
  <c r="H13" i="245"/>
  <c r="H12" i="245"/>
  <c r="H11" i="245"/>
  <c r="H10" i="245"/>
  <c r="H9" i="245"/>
  <c r="H8" i="245"/>
  <c r="H7" i="245"/>
  <c r="H6" i="245"/>
  <c r="H15" i="245"/>
  <c r="F15" i="301"/>
  <c r="H15" i="302"/>
  <c r="H14" i="302"/>
  <c r="H13" i="302"/>
  <c r="H12" i="302"/>
  <c r="H11" i="302"/>
  <c r="H10" i="302"/>
  <c r="H9" i="302"/>
  <c r="H8" i="302"/>
  <c r="H7" i="302"/>
  <c r="H6" i="302"/>
  <c r="A15" i="225" l="1"/>
  <c r="A15" i="226" s="1"/>
  <c r="A15" i="194"/>
  <c r="A3" i="226" l="1"/>
  <c r="A3" i="225"/>
  <c r="A3" i="194"/>
  <c r="G15" i="194"/>
  <c r="F15" i="194"/>
  <c r="E15" i="194"/>
  <c r="D15" i="194"/>
  <c r="C15" i="194"/>
  <c r="B15" i="194"/>
  <c r="A4" i="192"/>
  <c r="A3" i="193"/>
  <c r="A4" i="193"/>
  <c r="O42" i="342"/>
  <c r="O41" i="342"/>
  <c r="O40" i="342"/>
  <c r="O39" i="342"/>
  <c r="O38" i="342"/>
  <c r="O37" i="342"/>
  <c r="O36" i="342"/>
  <c r="O35" i="342"/>
  <c r="O34" i="342"/>
  <c r="O33" i="342"/>
  <c r="O19" i="342"/>
  <c r="O20" i="342"/>
  <c r="O21" i="342"/>
  <c r="O22" i="342"/>
  <c r="O23" i="342"/>
  <c r="O24" i="342"/>
  <c r="O25" i="342"/>
  <c r="O26" i="342"/>
  <c r="O27" i="342"/>
  <c r="O18" i="342"/>
  <c r="F15" i="188"/>
  <c r="F14" i="188"/>
  <c r="F13" i="188"/>
  <c r="F12" i="188"/>
  <c r="F11" i="188"/>
  <c r="F10" i="188"/>
  <c r="F9" i="188"/>
  <c r="F8" i="188"/>
  <c r="F7" i="188"/>
  <c r="F6" i="188"/>
  <c r="A15" i="192" l="1"/>
  <c r="A4" i="191" l="1"/>
  <c r="A15" i="188"/>
  <c r="E15" i="188"/>
  <c r="D15" i="188"/>
  <c r="C15" i="188"/>
  <c r="B15" i="188"/>
  <c r="A15" i="223"/>
  <c r="A15" i="224" s="1"/>
  <c r="A15" i="190"/>
  <c r="F15" i="347"/>
  <c r="F14" i="347"/>
  <c r="F13" i="347"/>
  <c r="F12" i="347"/>
  <c r="F11" i="347"/>
  <c r="F10" i="347"/>
  <c r="F9" i="347"/>
  <c r="F8" i="347"/>
  <c r="F7" i="347"/>
  <c r="F6" i="347"/>
  <c r="G5" i="347"/>
  <c r="F5" i="347"/>
  <c r="E5" i="347"/>
  <c r="D5" i="347"/>
  <c r="C5" i="347"/>
  <c r="B5" i="347"/>
  <c r="A4" i="347"/>
  <c r="A3" i="347"/>
  <c r="B15" i="190" l="1"/>
  <c r="E15" i="190"/>
  <c r="C15" i="190"/>
  <c r="D15" i="190"/>
  <c r="F15" i="190"/>
  <c r="F5" i="188"/>
  <c r="A15" i="186" l="1"/>
  <c r="G15" i="256" l="1"/>
  <c r="F15" i="256"/>
  <c r="E15" i="256"/>
  <c r="D15" i="256"/>
  <c r="C15" i="256"/>
  <c r="B15" i="256"/>
  <c r="A15" i="256"/>
  <c r="G15" i="273"/>
  <c r="F15" i="273"/>
  <c r="E15" i="273"/>
  <c r="D15" i="273"/>
  <c r="C15" i="273"/>
  <c r="B15" i="273"/>
  <c r="A15" i="273"/>
  <c r="G15" i="252"/>
  <c r="F15" i="252"/>
  <c r="E15" i="252"/>
  <c r="D15" i="252"/>
  <c r="C15" i="252"/>
  <c r="B15" i="252"/>
  <c r="A15" i="252"/>
  <c r="G15" i="254"/>
  <c r="F15" i="254"/>
  <c r="E15" i="254"/>
  <c r="D15" i="254"/>
  <c r="C15" i="254"/>
  <c r="B15" i="254"/>
  <c r="A15" i="254"/>
  <c r="H15" i="253"/>
  <c r="F8" i="305"/>
  <c r="F8" i="308" s="1"/>
  <c r="E8" i="305"/>
  <c r="D8" i="305"/>
  <c r="C8" i="305"/>
  <c r="B8" i="305"/>
  <c r="G7" i="305"/>
  <c r="G6" i="305"/>
  <c r="G15" i="248"/>
  <c r="F15" i="248"/>
  <c r="E15" i="248"/>
  <c r="D15" i="248"/>
  <c r="C15" i="248"/>
  <c r="B15" i="248"/>
  <c r="A15" i="248"/>
  <c r="H15" i="247"/>
  <c r="H15" i="248" s="1"/>
  <c r="G15" i="246"/>
  <c r="F15" i="246"/>
  <c r="E15" i="246"/>
  <c r="D15" i="246"/>
  <c r="C15" i="246"/>
  <c r="B15" i="246"/>
  <c r="A15" i="246"/>
  <c r="H15" i="246"/>
  <c r="G8" i="305" l="1"/>
  <c r="B14" i="240"/>
  <c r="H15" i="301" l="1"/>
  <c r="G15" i="301"/>
  <c r="E15" i="301"/>
  <c r="D15" i="301"/>
  <c r="C15" i="301"/>
  <c r="B15" i="301"/>
  <c r="A15" i="301"/>
  <c r="G15" i="237"/>
  <c r="H14" i="237"/>
  <c r="G14" i="237"/>
  <c r="H13" i="237"/>
  <c r="G13" i="237"/>
  <c r="F13" i="237"/>
  <c r="E13" i="237"/>
  <c r="D13" i="237"/>
  <c r="C13" i="237"/>
  <c r="B13" i="237"/>
  <c r="H12" i="237"/>
  <c r="G12" i="237"/>
  <c r="F12" i="237"/>
  <c r="E12" i="237"/>
  <c r="D12" i="237"/>
  <c r="C12" i="237"/>
  <c r="B12" i="237"/>
  <c r="H11" i="237"/>
  <c r="G11" i="237"/>
  <c r="F11" i="237"/>
  <c r="E11" i="237"/>
  <c r="D11" i="237"/>
  <c r="C11" i="237"/>
  <c r="B11" i="237"/>
  <c r="H10" i="237"/>
  <c r="G10" i="237"/>
  <c r="F10" i="237"/>
  <c r="E10" i="237"/>
  <c r="D10" i="237"/>
  <c r="C10" i="237"/>
  <c r="B10" i="237"/>
  <c r="H9" i="237"/>
  <c r="G9" i="237"/>
  <c r="F9" i="237"/>
  <c r="E9" i="237"/>
  <c r="D9" i="237"/>
  <c r="C9" i="237"/>
  <c r="B9" i="237"/>
  <c r="H8" i="237"/>
  <c r="G8" i="237"/>
  <c r="F8" i="237"/>
  <c r="E8" i="237"/>
  <c r="D8" i="237"/>
  <c r="C8" i="237"/>
  <c r="B8" i="237"/>
  <c r="H7" i="237"/>
  <c r="G7" i="237"/>
  <c r="F7" i="237"/>
  <c r="E7" i="237"/>
  <c r="D7" i="237"/>
  <c r="C7" i="237"/>
  <c r="B7" i="237"/>
  <c r="H6" i="237"/>
  <c r="G6" i="237"/>
  <c r="F6" i="237"/>
  <c r="E6" i="237"/>
  <c r="D6" i="237"/>
  <c r="C6" i="237"/>
  <c r="B6" i="237"/>
  <c r="K6" i="236"/>
  <c r="K7" i="236"/>
  <c r="K8" i="236"/>
  <c r="G14" i="238" l="1"/>
  <c r="F15" i="237"/>
  <c r="C7" i="209"/>
  <c r="B7" i="209"/>
  <c r="B6" i="209"/>
  <c r="C6" i="209"/>
  <c r="C5" i="209"/>
  <c r="M9" i="207"/>
  <c r="M10" i="207" s="1"/>
  <c r="B7" i="208" s="1"/>
  <c r="F15" i="192" l="1"/>
  <c r="F15" i="225"/>
  <c r="F15" i="226" s="1"/>
  <c r="B6" i="208"/>
  <c r="B27" i="230"/>
  <c r="B29" i="231"/>
  <c r="D8" i="71"/>
  <c r="D9" i="71" s="1"/>
  <c r="A4" i="345"/>
  <c r="A3" i="345"/>
  <c r="A4" i="344"/>
  <c r="A3" i="344"/>
  <c r="E17" i="343"/>
  <c r="C17" i="343"/>
  <c r="B17" i="343"/>
  <c r="E15" i="343"/>
  <c r="E14" i="343"/>
  <c r="E13" i="343"/>
  <c r="E12" i="343"/>
  <c r="E11" i="343"/>
  <c r="E10" i="343"/>
  <c r="E9" i="343"/>
  <c r="E8" i="343"/>
  <c r="E7" i="343"/>
  <c r="E6" i="343"/>
  <c r="A4" i="343"/>
  <c r="A3" i="343"/>
  <c r="D7" i="71" l="1"/>
  <c r="D10" i="71"/>
  <c r="D6" i="71"/>
  <c r="F16" i="343"/>
  <c r="B10" i="162"/>
  <c r="B9" i="162"/>
  <c r="B8" i="162"/>
  <c r="B7" i="162"/>
  <c r="B6" i="162"/>
  <c r="F12" i="10" l="1"/>
  <c r="E12" i="10"/>
  <c r="D12" i="10"/>
  <c r="C12" i="10"/>
  <c r="B12" i="10"/>
  <c r="B26" i="78" l="1"/>
  <c r="B44" i="229"/>
  <c r="B56" i="73"/>
  <c r="B11" i="72" l="1"/>
  <c r="C12" i="72" s="1"/>
  <c r="C5" i="37" l="1"/>
  <c r="C5" i="36"/>
  <c r="C5" i="35"/>
  <c r="C5" i="34"/>
  <c r="C5" i="33"/>
  <c r="O23" i="340" l="1"/>
  <c r="O24" i="340"/>
  <c r="O25" i="340"/>
  <c r="O26" i="340"/>
  <c r="O22" i="340"/>
  <c r="O14" i="340"/>
  <c r="O15" i="340"/>
  <c r="O16" i="340"/>
  <c r="O17" i="340"/>
  <c r="O13" i="340"/>
  <c r="G14" i="254" l="1"/>
  <c r="F14" i="254"/>
  <c r="E14" i="254"/>
  <c r="D14" i="254"/>
  <c r="C14" i="254"/>
  <c r="B14" i="254"/>
  <c r="G13" i="254"/>
  <c r="F13" i="254"/>
  <c r="E13" i="254"/>
  <c r="D13" i="254"/>
  <c r="C13" i="254"/>
  <c r="B13" i="254"/>
  <c r="G12" i="254"/>
  <c r="F12" i="254"/>
  <c r="E12" i="254"/>
  <c r="D12" i="254"/>
  <c r="C12" i="254"/>
  <c r="B12" i="254"/>
  <c r="G11" i="254"/>
  <c r="F11" i="254"/>
  <c r="E11" i="254"/>
  <c r="D11" i="254"/>
  <c r="C11" i="254"/>
  <c r="B11" i="254"/>
  <c r="G10" i="254"/>
  <c r="F10" i="254"/>
  <c r="E10" i="254"/>
  <c r="D10" i="254"/>
  <c r="C10" i="254"/>
  <c r="B10" i="254"/>
  <c r="G9" i="254"/>
  <c r="F9" i="254"/>
  <c r="E9" i="254"/>
  <c r="D9" i="254"/>
  <c r="C9" i="254"/>
  <c r="B9" i="254"/>
  <c r="G8" i="254"/>
  <c r="F8" i="254"/>
  <c r="E8" i="254"/>
  <c r="D8" i="254"/>
  <c r="C8" i="254"/>
  <c r="B8" i="254"/>
  <c r="G7" i="254"/>
  <c r="F7" i="254"/>
  <c r="E7" i="254"/>
  <c r="D7" i="254"/>
  <c r="C7" i="254"/>
  <c r="B7" i="254"/>
  <c r="G6" i="254"/>
  <c r="F6" i="254"/>
  <c r="E6" i="254"/>
  <c r="D6" i="254"/>
  <c r="C6" i="254"/>
  <c r="B6" i="254"/>
  <c r="C7" i="107" l="1"/>
  <c r="C8" i="107"/>
  <c r="C9" i="107"/>
  <c r="C6" i="107"/>
  <c r="H7" i="247" l="1"/>
  <c r="H14" i="247"/>
  <c r="H12" i="247"/>
  <c r="H11" i="247"/>
  <c r="H10" i="247"/>
  <c r="H9" i="247"/>
  <c r="H8" i="247"/>
  <c r="H6" i="247"/>
  <c r="G14" i="225" l="1"/>
  <c r="G13" i="225"/>
  <c r="F13" i="225"/>
  <c r="E13" i="225"/>
  <c r="D13" i="225"/>
  <c r="C13" i="225"/>
  <c r="B13" i="225"/>
  <c r="G12" i="225"/>
  <c r="F12" i="225"/>
  <c r="E12" i="225"/>
  <c r="D12" i="225"/>
  <c r="C12" i="225"/>
  <c r="B12" i="225"/>
  <c r="G11" i="225"/>
  <c r="F11" i="225"/>
  <c r="E11" i="225"/>
  <c r="D11" i="225"/>
  <c r="C11" i="225"/>
  <c r="B11" i="225"/>
  <c r="G10" i="225"/>
  <c r="F10" i="225"/>
  <c r="E10" i="225"/>
  <c r="D10" i="225"/>
  <c r="C10" i="225"/>
  <c r="B10" i="225"/>
  <c r="G9" i="225"/>
  <c r="F9" i="225"/>
  <c r="E9" i="225"/>
  <c r="D9" i="225"/>
  <c r="C9" i="225"/>
  <c r="B9" i="225"/>
  <c r="G8" i="225"/>
  <c r="F8" i="225"/>
  <c r="E8" i="225"/>
  <c r="D8" i="225"/>
  <c r="C8" i="225"/>
  <c r="B8" i="225"/>
  <c r="G7" i="225"/>
  <c r="F7" i="225"/>
  <c r="E7" i="225"/>
  <c r="D7" i="225"/>
  <c r="C7" i="225"/>
  <c r="B7" i="225"/>
  <c r="G6" i="225"/>
  <c r="F6" i="225"/>
  <c r="E6" i="225"/>
  <c r="D6" i="225"/>
  <c r="C6" i="225"/>
  <c r="B6" i="225"/>
  <c r="G16" i="191" l="1"/>
  <c r="F16" i="187"/>
  <c r="C9" i="305"/>
  <c r="D9" i="305"/>
  <c r="E9" i="305"/>
  <c r="B9" i="305"/>
  <c r="J17" i="233"/>
  <c r="I17" i="233"/>
  <c r="D6" i="299" l="1"/>
  <c r="J14" i="233" l="1"/>
  <c r="I14" i="233"/>
  <c r="A14" i="225" l="1"/>
  <c r="A14" i="226" s="1"/>
  <c r="A13" i="225"/>
  <c r="A13" i="226" s="1"/>
  <c r="A12" i="225"/>
  <c r="A12" i="226" s="1"/>
  <c r="A11" i="225"/>
  <c r="A11" i="226" s="1"/>
  <c r="A10" i="225"/>
  <c r="A10" i="226" s="1"/>
  <c r="A9" i="225"/>
  <c r="A9" i="226" s="1"/>
  <c r="A8" i="225"/>
  <c r="A8" i="226" s="1"/>
  <c r="A7" i="225"/>
  <c r="A7" i="226" s="1"/>
  <c r="A6" i="225"/>
  <c r="A6" i="226" s="1"/>
  <c r="G5" i="225"/>
  <c r="F5" i="225"/>
  <c r="E5" i="225"/>
  <c r="D5" i="225"/>
  <c r="C5" i="225"/>
  <c r="B5" i="225"/>
  <c r="A14" i="194"/>
  <c r="F5" i="192"/>
  <c r="A14" i="192"/>
  <c r="A14" i="188"/>
  <c r="A14" i="190"/>
  <c r="A14" i="223"/>
  <c r="A14" i="224" s="1"/>
  <c r="A13" i="223"/>
  <c r="A12" i="223"/>
  <c r="A11" i="223"/>
  <c r="A10" i="223"/>
  <c r="A9" i="223"/>
  <c r="A8" i="223"/>
  <c r="A7" i="223"/>
  <c r="A6" i="223"/>
  <c r="F5" i="223"/>
  <c r="E5" i="223"/>
  <c r="D5" i="223"/>
  <c r="C5" i="223"/>
  <c r="B5" i="223"/>
  <c r="G14" i="226" l="1"/>
  <c r="B14" i="194"/>
  <c r="D14" i="194"/>
  <c r="F14" i="194"/>
  <c r="C14" i="194"/>
  <c r="E14" i="194"/>
  <c r="G14" i="194"/>
  <c r="F7" i="192"/>
  <c r="F9" i="192"/>
  <c r="F11" i="192"/>
  <c r="F13" i="192"/>
  <c r="F6" i="192"/>
  <c r="F8" i="192"/>
  <c r="F10" i="192"/>
  <c r="F12" i="192"/>
  <c r="G14" i="192"/>
  <c r="D14" i="190"/>
  <c r="C14" i="190"/>
  <c r="E14" i="190"/>
  <c r="F14" i="190"/>
  <c r="H14" i="225" l="1"/>
  <c r="B14" i="190"/>
  <c r="B14" i="188" l="1"/>
  <c r="D14" i="188"/>
  <c r="C14" i="188"/>
  <c r="E14" i="188"/>
  <c r="F14" i="223"/>
  <c r="F14" i="224" s="1"/>
  <c r="F6" i="223"/>
  <c r="F8" i="223"/>
  <c r="F11" i="223"/>
  <c r="F10" i="223"/>
  <c r="F7" i="223"/>
  <c r="F9" i="223"/>
  <c r="F13" i="223"/>
  <c r="F12" i="223"/>
  <c r="A14" i="186"/>
  <c r="G14" i="223" l="1"/>
  <c r="F14" i="186"/>
  <c r="G14" i="256"/>
  <c r="F14" i="256"/>
  <c r="E14" i="256"/>
  <c r="D14" i="256"/>
  <c r="C14" i="256"/>
  <c r="B14" i="256"/>
  <c r="A14" i="256"/>
  <c r="G14" i="273"/>
  <c r="F14" i="273"/>
  <c r="E14" i="273"/>
  <c r="D14" i="273"/>
  <c r="C14" i="273"/>
  <c r="B14" i="273"/>
  <c r="A14" i="273"/>
  <c r="G14" i="252"/>
  <c r="F14" i="252"/>
  <c r="E14" i="252"/>
  <c r="D14" i="252"/>
  <c r="C14" i="252"/>
  <c r="B14" i="252"/>
  <c r="A14" i="252"/>
  <c r="A14" i="254"/>
  <c r="A13" i="254"/>
  <c r="A12" i="254"/>
  <c r="A11" i="254"/>
  <c r="A10" i="254"/>
  <c r="A9" i="254"/>
  <c r="A8" i="254"/>
  <c r="A7" i="254"/>
  <c r="A6" i="254"/>
  <c r="A4" i="248"/>
  <c r="A3" i="248"/>
  <c r="D14" i="239"/>
  <c r="A14" i="301"/>
  <c r="A13" i="301"/>
  <c r="A12" i="301"/>
  <c r="A11" i="301"/>
  <c r="A10" i="301"/>
  <c r="A9" i="301"/>
  <c r="A8" i="301"/>
  <c r="A7" i="301"/>
  <c r="A6" i="301"/>
  <c r="H14" i="301"/>
  <c r="G14" i="301"/>
  <c r="F14" i="301"/>
  <c r="E14" i="301"/>
  <c r="D14" i="301"/>
  <c r="C14" i="301"/>
  <c r="B14" i="301"/>
  <c r="A4" i="284" l="1"/>
  <c r="A3" i="284"/>
  <c r="A3" i="338"/>
  <c r="A3" i="139"/>
  <c r="A4" i="139"/>
  <c r="A3" i="110"/>
  <c r="A4" i="110"/>
  <c r="A3" i="277"/>
  <c r="A4" i="195"/>
  <c r="A3" i="195"/>
  <c r="A235" i="1" l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6" i="1"/>
  <c r="D136" i="1" s="1"/>
  <c r="A135" i="1"/>
  <c r="B135" i="1" s="1"/>
  <c r="C135" i="1" s="1"/>
  <c r="A134" i="1"/>
  <c r="B134" i="1" s="1"/>
  <c r="C134" i="1" s="1"/>
  <c r="A133" i="1"/>
  <c r="B133" i="1" s="1"/>
  <c r="C133" i="1" s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B136" i="1"/>
  <c r="C136" i="1" s="1"/>
  <c r="D6" i="339"/>
  <c r="D6" i="284"/>
  <c r="D6" i="338"/>
  <c r="B17" i="136"/>
  <c r="B17" i="314"/>
  <c r="D134" i="1" l="1"/>
  <c r="D183" i="1"/>
  <c r="B183" i="1"/>
  <c r="C183" i="1" s="1"/>
  <c r="D185" i="1"/>
  <c r="B185" i="1"/>
  <c r="C185" i="1" s="1"/>
  <c r="B184" i="1"/>
  <c r="C184" i="1" s="1"/>
  <c r="D184" i="1"/>
  <c r="D135" i="1"/>
  <c r="D133" i="1"/>
  <c r="K5" i="207" l="1"/>
  <c r="C7" i="113"/>
  <c r="C8" i="113"/>
  <c r="C9" i="113"/>
  <c r="C10" i="113"/>
  <c r="C11" i="113"/>
  <c r="C12" i="113"/>
  <c r="C13" i="113"/>
  <c r="C14" i="113"/>
  <c r="C15" i="113"/>
  <c r="C16" i="113"/>
  <c r="C17" i="113"/>
  <c r="C6" i="113"/>
  <c r="C16" i="98"/>
  <c r="C15" i="98"/>
  <c r="C14" i="98"/>
  <c r="C13" i="98"/>
  <c r="C12" i="98"/>
  <c r="C11" i="98"/>
  <c r="C10" i="98"/>
  <c r="C9" i="98"/>
  <c r="C8" i="98"/>
  <c r="C7" i="98"/>
  <c r="C6" i="98"/>
  <c r="C12" i="68"/>
  <c r="K6" i="85"/>
  <c r="L6" i="85"/>
  <c r="M6" i="85" l="1"/>
  <c r="J5" i="207"/>
  <c r="I5" i="207" s="1"/>
  <c r="H5" i="207" s="1"/>
  <c r="G5" i="207" s="1"/>
  <c r="F5" i="207" s="1"/>
  <c r="E5" i="207" s="1"/>
  <c r="D5" i="207" s="1"/>
  <c r="C6" i="46"/>
  <c r="D6" i="32"/>
  <c r="E6" i="32" s="1"/>
  <c r="E8" i="32" s="1"/>
  <c r="D8" i="32" s="1"/>
  <c r="E7" i="22"/>
  <c r="E8" i="22"/>
  <c r="E9" i="22"/>
  <c r="E10" i="22"/>
  <c r="E6" i="22"/>
  <c r="C5" i="207" l="1"/>
  <c r="B5" i="209"/>
  <c r="E31" i="32"/>
  <c r="D31" i="32" s="1"/>
  <c r="E29" i="32"/>
  <c r="D29" i="32" s="1"/>
  <c r="E27" i="32"/>
  <c r="D27" i="32" s="1"/>
  <c r="E25" i="32"/>
  <c r="D25" i="32" s="1"/>
  <c r="E23" i="32"/>
  <c r="D23" i="32" s="1"/>
  <c r="E21" i="32"/>
  <c r="D21" i="32" s="1"/>
  <c r="E19" i="32"/>
  <c r="D19" i="32" s="1"/>
  <c r="E17" i="32"/>
  <c r="D17" i="32" s="1"/>
  <c r="E15" i="32"/>
  <c r="D15" i="32" s="1"/>
  <c r="E13" i="32"/>
  <c r="D13" i="32" s="1"/>
  <c r="E11" i="32"/>
  <c r="D11" i="32" s="1"/>
  <c r="E9" i="32"/>
  <c r="D9" i="32" s="1"/>
  <c r="E7" i="32"/>
  <c r="D7" i="32" s="1"/>
  <c r="E32" i="32"/>
  <c r="D32" i="32" s="1"/>
  <c r="E30" i="32"/>
  <c r="D30" i="32" s="1"/>
  <c r="E28" i="32"/>
  <c r="D28" i="32" s="1"/>
  <c r="E26" i="32"/>
  <c r="D26" i="32" s="1"/>
  <c r="E24" i="32"/>
  <c r="D24" i="32" s="1"/>
  <c r="E22" i="32"/>
  <c r="D22" i="32" s="1"/>
  <c r="E20" i="32"/>
  <c r="D20" i="32" s="1"/>
  <c r="E18" i="32"/>
  <c r="D18" i="32" s="1"/>
  <c r="E16" i="32"/>
  <c r="D16" i="32" s="1"/>
  <c r="E14" i="32"/>
  <c r="D14" i="32" s="1"/>
  <c r="E12" i="32"/>
  <c r="D12" i="32" s="1"/>
  <c r="E10" i="32"/>
  <c r="D10" i="32" s="1"/>
  <c r="B5" i="207"/>
  <c r="F13" i="6" l="1"/>
  <c r="F14" i="248"/>
  <c r="F12" i="248"/>
  <c r="F11" i="248"/>
  <c r="F10" i="248"/>
  <c r="F9" i="248"/>
  <c r="F8" i="248"/>
  <c r="F7" i="248"/>
  <c r="F6" i="248"/>
  <c r="F13" i="247"/>
  <c r="F13" i="248" l="1"/>
  <c r="H13" i="247"/>
  <c r="H13" i="248" s="1"/>
  <c r="G14" i="248"/>
  <c r="E14" i="248"/>
  <c r="D14" i="248"/>
  <c r="C14" i="248"/>
  <c r="B14" i="248"/>
  <c r="A14" i="248"/>
  <c r="G13" i="248"/>
  <c r="E13" i="248"/>
  <c r="D13" i="248"/>
  <c r="C13" i="248"/>
  <c r="B13" i="248"/>
  <c r="A13" i="248"/>
  <c r="G12" i="248"/>
  <c r="E12" i="248"/>
  <c r="D12" i="248"/>
  <c r="C12" i="248"/>
  <c r="B12" i="248"/>
  <c r="A12" i="248"/>
  <c r="G11" i="248"/>
  <c r="E11" i="248"/>
  <c r="D11" i="248"/>
  <c r="C11" i="248"/>
  <c r="B11" i="248"/>
  <c r="A11" i="248"/>
  <c r="E10" i="248"/>
  <c r="D10" i="248"/>
  <c r="C10" i="248"/>
  <c r="B10" i="248"/>
  <c r="A10" i="248"/>
  <c r="E9" i="248"/>
  <c r="D9" i="248"/>
  <c r="C9" i="248"/>
  <c r="B9" i="248"/>
  <c r="A9" i="248"/>
  <c r="E8" i="248"/>
  <c r="D8" i="248"/>
  <c r="C8" i="248"/>
  <c r="B8" i="248"/>
  <c r="A8" i="248"/>
  <c r="E7" i="248"/>
  <c r="D7" i="248"/>
  <c r="C7" i="248"/>
  <c r="B7" i="248"/>
  <c r="A7" i="248"/>
  <c r="E6" i="248"/>
  <c r="D6" i="248"/>
  <c r="C6" i="248"/>
  <c r="B6" i="248"/>
  <c r="A6" i="248"/>
  <c r="H5" i="248"/>
  <c r="G5" i="248"/>
  <c r="E5" i="248"/>
  <c r="D5" i="248"/>
  <c r="C5" i="248"/>
  <c r="G10" i="248"/>
  <c r="H9" i="248"/>
  <c r="G8" i="248"/>
  <c r="H7" i="248"/>
  <c r="H6" i="248"/>
  <c r="H14" i="248"/>
  <c r="H12" i="248"/>
  <c r="H11" i="248"/>
  <c r="H10" i="248"/>
  <c r="H8" i="248"/>
  <c r="G14" i="246"/>
  <c r="F14" i="246"/>
  <c r="E14" i="246"/>
  <c r="D14" i="246"/>
  <c r="C14" i="246"/>
  <c r="B14" i="246"/>
  <c r="A14" i="246"/>
  <c r="G13" i="246"/>
  <c r="F13" i="246"/>
  <c r="E13" i="246"/>
  <c r="D13" i="246"/>
  <c r="C13" i="246"/>
  <c r="B13" i="246"/>
  <c r="A13" i="246"/>
  <c r="G12" i="246"/>
  <c r="F12" i="246"/>
  <c r="E12" i="246"/>
  <c r="D12" i="246"/>
  <c r="C12" i="246"/>
  <c r="B12" i="246"/>
  <c r="A12" i="246"/>
  <c r="G11" i="246"/>
  <c r="F11" i="246"/>
  <c r="E11" i="246"/>
  <c r="D11" i="246"/>
  <c r="C11" i="246"/>
  <c r="B11" i="246"/>
  <c r="A11" i="246"/>
  <c r="F10" i="246"/>
  <c r="E10" i="246"/>
  <c r="D10" i="246"/>
  <c r="C10" i="246"/>
  <c r="B10" i="246"/>
  <c r="A10" i="246"/>
  <c r="F9" i="246"/>
  <c r="E9" i="246"/>
  <c r="D9" i="246"/>
  <c r="C9" i="246"/>
  <c r="B9" i="246"/>
  <c r="A9" i="246"/>
  <c r="F8" i="246"/>
  <c r="E8" i="246"/>
  <c r="D8" i="246"/>
  <c r="C8" i="246"/>
  <c r="B8" i="246"/>
  <c r="A8" i="246"/>
  <c r="F7" i="246"/>
  <c r="E7" i="246"/>
  <c r="D7" i="246"/>
  <c r="C7" i="246"/>
  <c r="B7" i="246"/>
  <c r="A7" i="246"/>
  <c r="F6" i="246"/>
  <c r="E6" i="246"/>
  <c r="D6" i="246"/>
  <c r="C6" i="246"/>
  <c r="B6" i="246"/>
  <c r="H5" i="246"/>
  <c r="G5" i="246"/>
  <c r="F5" i="246"/>
  <c r="E5" i="246"/>
  <c r="D5" i="246"/>
  <c r="C5" i="246"/>
  <c r="H14" i="246"/>
  <c r="G10" i="246"/>
  <c r="G9" i="246"/>
  <c r="G8" i="246"/>
  <c r="G7" i="246"/>
  <c r="G6" i="246"/>
  <c r="H12" i="246"/>
  <c r="H11" i="246"/>
  <c r="H10" i="246"/>
  <c r="H9" i="246"/>
  <c r="H8" i="246"/>
  <c r="H7" i="246"/>
  <c r="H6" i="246"/>
  <c r="B13" i="240"/>
  <c r="G13" i="301"/>
  <c r="F13" i="301"/>
  <c r="E13" i="301"/>
  <c r="D13" i="301"/>
  <c r="C13" i="301"/>
  <c r="B13" i="301"/>
  <c r="G12" i="301"/>
  <c r="F12" i="301"/>
  <c r="E12" i="301"/>
  <c r="D12" i="301"/>
  <c r="C12" i="301"/>
  <c r="B12" i="301"/>
  <c r="G11" i="301"/>
  <c r="F11" i="301"/>
  <c r="E11" i="301"/>
  <c r="D11" i="301"/>
  <c r="C11" i="301"/>
  <c r="B11" i="301"/>
  <c r="G10" i="301"/>
  <c r="F10" i="301"/>
  <c r="E10" i="301"/>
  <c r="D10" i="301"/>
  <c r="C10" i="301"/>
  <c r="B10" i="301"/>
  <c r="G9" i="301"/>
  <c r="F9" i="301"/>
  <c r="E9" i="301"/>
  <c r="D9" i="301"/>
  <c r="C9" i="301"/>
  <c r="B9" i="301"/>
  <c r="G8" i="301"/>
  <c r="F8" i="301"/>
  <c r="E8" i="301"/>
  <c r="D8" i="301"/>
  <c r="C8" i="301"/>
  <c r="B8" i="301"/>
  <c r="G7" i="301"/>
  <c r="F7" i="301"/>
  <c r="E7" i="301"/>
  <c r="D7" i="301"/>
  <c r="C7" i="301"/>
  <c r="B7" i="301"/>
  <c r="G6" i="301"/>
  <c r="F6" i="301"/>
  <c r="E6" i="301"/>
  <c r="D6" i="301"/>
  <c r="C6" i="301"/>
  <c r="B6" i="301"/>
  <c r="H5" i="301"/>
  <c r="G5" i="301"/>
  <c r="F5" i="301"/>
  <c r="E5" i="301"/>
  <c r="D5" i="301"/>
  <c r="C5" i="301"/>
  <c r="A4" i="302"/>
  <c r="A3" i="302"/>
  <c r="H13" i="301"/>
  <c r="H12" i="301"/>
  <c r="H11" i="301"/>
  <c r="H10" i="301"/>
  <c r="H9" i="301"/>
  <c r="H8" i="301"/>
  <c r="H7" i="301"/>
  <c r="A4" i="237"/>
  <c r="G5" i="237"/>
  <c r="G13" i="238" s="1"/>
  <c r="F5" i="237"/>
  <c r="A4" i="233"/>
  <c r="A3" i="233"/>
  <c r="H13" i="246" l="1"/>
  <c r="I14" i="245"/>
  <c r="G6" i="248"/>
  <c r="G7" i="248"/>
  <c r="G9" i="248"/>
  <c r="E26" i="340" l="1"/>
  <c r="E25" i="340"/>
  <c r="E24" i="340"/>
  <c r="E23" i="340"/>
  <c r="E22" i="340"/>
  <c r="N9" i="340"/>
  <c r="M9" i="340"/>
  <c r="L9" i="340"/>
  <c r="K9" i="340"/>
  <c r="J9" i="340"/>
  <c r="I9" i="340"/>
  <c r="H9" i="340"/>
  <c r="G9" i="340"/>
  <c r="F9" i="340"/>
  <c r="E34" i="340"/>
  <c r="E33" i="340"/>
  <c r="E32" i="340"/>
  <c r="E31" i="340"/>
  <c r="E30" i="340"/>
  <c r="E17" i="340"/>
  <c r="E16" i="340"/>
  <c r="E15" i="340"/>
  <c r="E14" i="340"/>
  <c r="E13" i="340"/>
  <c r="E1" i="340" l="1"/>
  <c r="B2" i="340" l="1"/>
  <c r="C2" i="340" l="1"/>
  <c r="F34" i="340" l="1"/>
  <c r="F32" i="340"/>
  <c r="F30" i="340"/>
  <c r="F33" i="340"/>
  <c r="F31" i="340"/>
  <c r="P16" i="340" l="1"/>
  <c r="P15" i="340"/>
  <c r="P14" i="340"/>
  <c r="P13" i="340"/>
  <c r="P17" i="340"/>
  <c r="A4" i="339"/>
  <c r="A3" i="339"/>
  <c r="A4" i="338"/>
  <c r="A4" i="337"/>
  <c r="A3" i="337"/>
  <c r="A4" i="335"/>
  <c r="A3" i="335"/>
  <c r="A4" i="334"/>
  <c r="A3" i="334"/>
  <c r="A4" i="333"/>
  <c r="A3" i="333"/>
  <c r="A4" i="332"/>
  <c r="A3" i="332"/>
  <c r="A4" i="331"/>
  <c r="A3" i="331"/>
  <c r="A4" i="330" l="1"/>
  <c r="A3" i="330"/>
  <c r="A4" i="324" l="1"/>
  <c r="A3" i="324"/>
  <c r="A4" i="322"/>
  <c r="A3" i="322"/>
  <c r="A4" i="321" l="1"/>
  <c r="A3" i="321"/>
  <c r="A4" i="320"/>
  <c r="A3" i="320"/>
  <c r="A4" i="319"/>
  <c r="A3" i="319"/>
  <c r="A4" i="318"/>
  <c r="A3" i="318"/>
  <c r="A4" i="317"/>
  <c r="A3" i="317"/>
  <c r="A4" i="316"/>
  <c r="A3" i="316"/>
  <c r="A4" i="315"/>
  <c r="A3" i="315"/>
  <c r="D16" i="314"/>
  <c r="A4" i="314"/>
  <c r="A3" i="314"/>
  <c r="A4" i="313" l="1"/>
  <c r="A3" i="313"/>
  <c r="A4" i="312"/>
  <c r="A3" i="312"/>
  <c r="A4" i="311" l="1"/>
  <c r="A3" i="311"/>
  <c r="A4" i="310"/>
  <c r="A3" i="310"/>
  <c r="C27" i="116"/>
  <c r="B27" i="116"/>
  <c r="C7" i="110" l="1"/>
  <c r="C8" i="110"/>
  <c r="C9" i="110"/>
  <c r="C10" i="110"/>
  <c r="C11" i="110"/>
  <c r="C12" i="110"/>
  <c r="C13" i="110"/>
  <c r="C14" i="110"/>
  <c r="C15" i="110"/>
  <c r="C6" i="110"/>
  <c r="C34" i="92" l="1"/>
  <c r="B34" i="92"/>
  <c r="B27" i="91"/>
  <c r="C27" i="91"/>
  <c r="B10" i="24" l="1"/>
  <c r="B9" i="24"/>
  <c r="B8" i="24"/>
  <c r="B7" i="24"/>
  <c r="B6" i="24"/>
  <c r="G15" i="223" l="1"/>
  <c r="A4" i="225" l="1"/>
  <c r="A4" i="306"/>
  <c r="A3" i="306"/>
  <c r="A4" i="305"/>
  <c r="A3" i="305"/>
  <c r="A4" i="244" l="1"/>
  <c r="A4" i="226" l="1"/>
  <c r="A4" i="308"/>
  <c r="A3" i="308"/>
  <c r="A4" i="307"/>
  <c r="A4" i="298"/>
  <c r="G5" i="254" l="1"/>
  <c r="H6" i="301" l="1"/>
  <c r="D16" i="136" l="1"/>
  <c r="C13" i="48" l="1"/>
  <c r="B13" i="48"/>
  <c r="D35" i="1" l="1"/>
  <c r="B33" i="1"/>
  <c r="C33" i="1" s="1"/>
  <c r="B32" i="1"/>
  <c r="C32" i="1" s="1"/>
  <c r="D31" i="1"/>
  <c r="B29" i="1"/>
  <c r="C29" i="1" s="1"/>
  <c r="D28" i="1"/>
  <c r="D27" i="1"/>
  <c r="D26" i="1"/>
  <c r="B25" i="1"/>
  <c r="C25" i="1" s="1"/>
  <c r="D24" i="1"/>
  <c r="D23" i="1"/>
  <c r="D22" i="1"/>
  <c r="B21" i="1"/>
  <c r="C21" i="1" s="1"/>
  <c r="D20" i="1"/>
  <c r="D19" i="1"/>
  <c r="D18" i="1"/>
  <c r="B17" i="1"/>
  <c r="C17" i="1" s="1"/>
  <c r="D16" i="1"/>
  <c r="D15" i="1"/>
  <c r="D14" i="1"/>
  <c r="B13" i="1"/>
  <c r="C13" i="1" s="1"/>
  <c r="D12" i="1"/>
  <c r="D10" i="1"/>
  <c r="D9" i="1"/>
  <c r="D8" i="1"/>
  <c r="B7" i="1"/>
  <c r="C7" i="1" s="1"/>
  <c r="D6" i="1"/>
  <c r="D5" i="1"/>
  <c r="D4" i="1"/>
  <c r="L9" i="207"/>
  <c r="L10" i="207" l="1"/>
  <c r="D30" i="1"/>
  <c r="B30" i="1"/>
  <c r="C30" i="1" s="1"/>
  <c r="D34" i="1"/>
  <c r="B34" i="1"/>
  <c r="C34" i="1" s="1"/>
  <c r="D36" i="1"/>
  <c r="B36" i="1"/>
  <c r="C36" i="1" s="1"/>
  <c r="D38" i="1"/>
  <c r="B38" i="1"/>
  <c r="C38" i="1" s="1"/>
  <c r="D40" i="1"/>
  <c r="B40" i="1"/>
  <c r="C40" i="1" s="1"/>
  <c r="D42" i="1"/>
  <c r="B42" i="1"/>
  <c r="C42" i="1" s="1"/>
  <c r="D44" i="1"/>
  <c r="B44" i="1"/>
  <c r="C44" i="1" s="1"/>
  <c r="D46" i="1"/>
  <c r="B46" i="1"/>
  <c r="C46" i="1" s="1"/>
  <c r="D48" i="1"/>
  <c r="B48" i="1"/>
  <c r="C48" i="1" s="1"/>
  <c r="D50" i="1"/>
  <c r="B50" i="1"/>
  <c r="C50" i="1" s="1"/>
  <c r="D52" i="1"/>
  <c r="B52" i="1"/>
  <c r="C52" i="1" s="1"/>
  <c r="D54" i="1"/>
  <c r="B54" i="1"/>
  <c r="C54" i="1" s="1"/>
  <c r="D56" i="1"/>
  <c r="B56" i="1"/>
  <c r="C56" i="1" s="1"/>
  <c r="B59" i="1"/>
  <c r="C59" i="1" s="1"/>
  <c r="D59" i="1"/>
  <c r="D61" i="1"/>
  <c r="B61" i="1"/>
  <c r="C61" i="1" s="1"/>
  <c r="B63" i="1"/>
  <c r="C63" i="1" s="1"/>
  <c r="D63" i="1"/>
  <c r="D65" i="1"/>
  <c r="B65" i="1"/>
  <c r="C65" i="1" s="1"/>
  <c r="B67" i="1"/>
  <c r="C67" i="1" s="1"/>
  <c r="D67" i="1"/>
  <c r="D69" i="1"/>
  <c r="B69" i="1"/>
  <c r="C69" i="1" s="1"/>
  <c r="B71" i="1"/>
  <c r="C71" i="1" s="1"/>
  <c r="D71" i="1"/>
  <c r="D73" i="1"/>
  <c r="B73" i="1"/>
  <c r="C73" i="1" s="1"/>
  <c r="B75" i="1"/>
  <c r="C75" i="1" s="1"/>
  <c r="D75" i="1"/>
  <c r="D77" i="1"/>
  <c r="B77" i="1"/>
  <c r="C77" i="1" s="1"/>
  <c r="B79" i="1"/>
  <c r="C79" i="1" s="1"/>
  <c r="D79" i="1"/>
  <c r="D81" i="1"/>
  <c r="B81" i="1"/>
  <c r="C81" i="1" s="1"/>
  <c r="B83" i="1"/>
  <c r="C83" i="1" s="1"/>
  <c r="D83" i="1"/>
  <c r="D85" i="1"/>
  <c r="B85" i="1"/>
  <c r="C85" i="1" s="1"/>
  <c r="B87" i="1"/>
  <c r="C87" i="1" s="1"/>
  <c r="D87" i="1"/>
  <c r="D89" i="1"/>
  <c r="B89" i="1"/>
  <c r="C89" i="1" s="1"/>
  <c r="B91" i="1"/>
  <c r="C91" i="1" s="1"/>
  <c r="D91" i="1"/>
  <c r="D93" i="1"/>
  <c r="B93" i="1"/>
  <c r="C93" i="1" s="1"/>
  <c r="B95" i="1"/>
  <c r="C95" i="1" s="1"/>
  <c r="D95" i="1"/>
  <c r="D97" i="1"/>
  <c r="B97" i="1"/>
  <c r="C97" i="1" s="1"/>
  <c r="B99" i="1"/>
  <c r="C99" i="1" s="1"/>
  <c r="D99" i="1"/>
  <c r="D101" i="1"/>
  <c r="B101" i="1"/>
  <c r="C101" i="1" s="1"/>
  <c r="B103" i="1"/>
  <c r="C103" i="1" s="1"/>
  <c r="D103" i="1"/>
  <c r="D105" i="1"/>
  <c r="B105" i="1"/>
  <c r="C105" i="1" s="1"/>
  <c r="B107" i="1"/>
  <c r="C107" i="1" s="1"/>
  <c r="D107" i="1"/>
  <c r="D109" i="1"/>
  <c r="B109" i="1"/>
  <c r="C109" i="1" s="1"/>
  <c r="B111" i="1"/>
  <c r="C111" i="1" s="1"/>
  <c r="D111" i="1"/>
  <c r="D113" i="1"/>
  <c r="B113" i="1"/>
  <c r="C113" i="1" s="1"/>
  <c r="B115" i="1"/>
  <c r="C115" i="1" s="1"/>
  <c r="D115" i="1"/>
  <c r="D117" i="1"/>
  <c r="B117" i="1"/>
  <c r="C117" i="1" s="1"/>
  <c r="B119" i="1"/>
  <c r="C119" i="1" s="1"/>
  <c r="D119" i="1"/>
  <c r="D122" i="1"/>
  <c r="B122" i="1"/>
  <c r="C122" i="1" s="1"/>
  <c r="B124" i="1"/>
  <c r="C124" i="1" s="1"/>
  <c r="D124" i="1"/>
  <c r="D126" i="1"/>
  <c r="B126" i="1"/>
  <c r="C126" i="1" s="1"/>
  <c r="B128" i="1"/>
  <c r="C128" i="1" s="1"/>
  <c r="D128" i="1"/>
  <c r="D130" i="1"/>
  <c r="B130" i="1"/>
  <c r="C130" i="1" s="1"/>
  <c r="B132" i="1"/>
  <c r="C132" i="1" s="1"/>
  <c r="D132" i="1"/>
  <c r="D191" i="1"/>
  <c r="B191" i="1"/>
  <c r="C191" i="1" s="1"/>
  <c r="D193" i="1"/>
  <c r="B193" i="1"/>
  <c r="C193" i="1" s="1"/>
  <c r="D195" i="1"/>
  <c r="B195" i="1"/>
  <c r="C195" i="1" s="1"/>
  <c r="D197" i="1"/>
  <c r="B197" i="1"/>
  <c r="C197" i="1" s="1"/>
  <c r="D199" i="1"/>
  <c r="B199" i="1"/>
  <c r="C199" i="1" s="1"/>
  <c r="D201" i="1"/>
  <c r="B201" i="1"/>
  <c r="C201" i="1" s="1"/>
  <c r="D203" i="1"/>
  <c r="B203" i="1"/>
  <c r="C203" i="1" s="1"/>
  <c r="D205" i="1"/>
  <c r="B205" i="1"/>
  <c r="C205" i="1" s="1"/>
  <c r="D207" i="1"/>
  <c r="B207" i="1"/>
  <c r="C207" i="1" s="1"/>
  <c r="D209" i="1"/>
  <c r="B209" i="1"/>
  <c r="C209" i="1" s="1"/>
  <c r="D211" i="1"/>
  <c r="B211" i="1"/>
  <c r="C211" i="1" s="1"/>
  <c r="D213" i="1"/>
  <c r="B213" i="1"/>
  <c r="C213" i="1" s="1"/>
  <c r="D215" i="1"/>
  <c r="B215" i="1"/>
  <c r="C215" i="1" s="1"/>
  <c r="D217" i="1"/>
  <c r="B217" i="1"/>
  <c r="C217" i="1" s="1"/>
  <c r="D219" i="1"/>
  <c r="B219" i="1"/>
  <c r="C219" i="1" s="1"/>
  <c r="D221" i="1"/>
  <c r="B221" i="1"/>
  <c r="C221" i="1" s="1"/>
  <c r="D223" i="1"/>
  <c r="B223" i="1"/>
  <c r="C223" i="1" s="1"/>
  <c r="D225" i="1"/>
  <c r="B225" i="1"/>
  <c r="C225" i="1" s="1"/>
  <c r="D227" i="1"/>
  <c r="B227" i="1"/>
  <c r="C227" i="1" s="1"/>
  <c r="D229" i="1"/>
  <c r="B229" i="1"/>
  <c r="C229" i="1" s="1"/>
  <c r="D231" i="1"/>
  <c r="B231" i="1"/>
  <c r="C231" i="1" s="1"/>
  <c r="D233" i="1"/>
  <c r="B233" i="1"/>
  <c r="C233" i="1" s="1"/>
  <c r="D155" i="1"/>
  <c r="B155" i="1"/>
  <c r="C155" i="1" s="1"/>
  <c r="D157" i="1"/>
  <c r="B157" i="1"/>
  <c r="C157" i="1" s="1"/>
  <c r="D159" i="1"/>
  <c r="B159" i="1"/>
  <c r="C159" i="1" s="1"/>
  <c r="D161" i="1"/>
  <c r="B161" i="1"/>
  <c r="C161" i="1" s="1"/>
  <c r="D163" i="1"/>
  <c r="B163" i="1"/>
  <c r="C163" i="1" s="1"/>
  <c r="D165" i="1"/>
  <c r="B165" i="1"/>
  <c r="C165" i="1" s="1"/>
  <c r="D167" i="1"/>
  <c r="B167" i="1"/>
  <c r="C167" i="1" s="1"/>
  <c r="D169" i="1"/>
  <c r="B169" i="1"/>
  <c r="C169" i="1" s="1"/>
  <c r="D171" i="1"/>
  <c r="B171" i="1"/>
  <c r="C171" i="1" s="1"/>
  <c r="D173" i="1"/>
  <c r="B173" i="1"/>
  <c r="C173" i="1" s="1"/>
  <c r="D175" i="1"/>
  <c r="B175" i="1"/>
  <c r="C175" i="1" s="1"/>
  <c r="D177" i="1"/>
  <c r="B177" i="1"/>
  <c r="C177" i="1" s="1"/>
  <c r="D179" i="1"/>
  <c r="B179" i="1"/>
  <c r="C179" i="1" s="1"/>
  <c r="D181" i="1"/>
  <c r="B181" i="1"/>
  <c r="C181" i="1" s="1"/>
  <c r="D186" i="1"/>
  <c r="B186" i="1"/>
  <c r="C186" i="1" s="1"/>
  <c r="D188" i="1"/>
  <c r="B188" i="1"/>
  <c r="C188" i="1" s="1"/>
  <c r="D138" i="1"/>
  <c r="B138" i="1"/>
  <c r="C138" i="1" s="1"/>
  <c r="D140" i="1"/>
  <c r="B140" i="1"/>
  <c r="C140" i="1" s="1"/>
  <c r="D142" i="1"/>
  <c r="B142" i="1"/>
  <c r="C142" i="1" s="1"/>
  <c r="D144" i="1"/>
  <c r="B144" i="1"/>
  <c r="C144" i="1" s="1"/>
  <c r="D146" i="1"/>
  <c r="B146" i="1"/>
  <c r="C146" i="1" s="1"/>
  <c r="D148" i="1"/>
  <c r="B148" i="1"/>
  <c r="C148" i="1" s="1"/>
  <c r="D150" i="1"/>
  <c r="B150" i="1"/>
  <c r="C150" i="1" s="1"/>
  <c r="D152" i="1"/>
  <c r="B152" i="1"/>
  <c r="C152" i="1" s="1"/>
  <c r="B5" i="1"/>
  <c r="C5" i="1" s="1"/>
  <c r="B6" i="1"/>
  <c r="C6" i="1" s="1"/>
  <c r="D7" i="1"/>
  <c r="B9" i="1"/>
  <c r="C9" i="1" s="1"/>
  <c r="B10" i="1"/>
  <c r="C10" i="1" s="1"/>
  <c r="B12" i="1"/>
  <c r="C12" i="1" s="1"/>
  <c r="D13" i="1"/>
  <c r="B15" i="1"/>
  <c r="C15" i="1" s="1"/>
  <c r="B16" i="1"/>
  <c r="C16" i="1" s="1"/>
  <c r="D17" i="1"/>
  <c r="B19" i="1"/>
  <c r="C19" i="1" s="1"/>
  <c r="B20" i="1"/>
  <c r="C20" i="1" s="1"/>
  <c r="D21" i="1"/>
  <c r="B23" i="1"/>
  <c r="C23" i="1" s="1"/>
  <c r="B24" i="1"/>
  <c r="C24" i="1" s="1"/>
  <c r="D25" i="1"/>
  <c r="B27" i="1"/>
  <c r="C27" i="1" s="1"/>
  <c r="B28" i="1"/>
  <c r="C28" i="1" s="1"/>
  <c r="D29" i="1"/>
  <c r="B31" i="1"/>
  <c r="C31" i="1" s="1"/>
  <c r="D32" i="1"/>
  <c r="B37" i="1"/>
  <c r="C37" i="1" s="1"/>
  <c r="D37" i="1"/>
  <c r="D39" i="1"/>
  <c r="B39" i="1"/>
  <c r="C39" i="1" s="1"/>
  <c r="B41" i="1"/>
  <c r="C41" i="1" s="1"/>
  <c r="D41" i="1"/>
  <c r="D43" i="1"/>
  <c r="B43" i="1"/>
  <c r="C43" i="1" s="1"/>
  <c r="B45" i="1"/>
  <c r="C45" i="1" s="1"/>
  <c r="D45" i="1"/>
  <c r="D47" i="1"/>
  <c r="B47" i="1"/>
  <c r="C47" i="1" s="1"/>
  <c r="B49" i="1"/>
  <c r="C49" i="1" s="1"/>
  <c r="D49" i="1"/>
  <c r="D51" i="1"/>
  <c r="B51" i="1"/>
  <c r="C51" i="1" s="1"/>
  <c r="B53" i="1"/>
  <c r="C53" i="1" s="1"/>
  <c r="D53" i="1"/>
  <c r="D55" i="1"/>
  <c r="B55" i="1"/>
  <c r="C55" i="1" s="1"/>
  <c r="B58" i="1"/>
  <c r="C58" i="1" s="1"/>
  <c r="D58" i="1"/>
  <c r="D60" i="1"/>
  <c r="B60" i="1"/>
  <c r="C60" i="1" s="1"/>
  <c r="D62" i="1"/>
  <c r="B62" i="1"/>
  <c r="C62" i="1" s="1"/>
  <c r="D64" i="1"/>
  <c r="B64" i="1"/>
  <c r="C64" i="1" s="1"/>
  <c r="D66" i="1"/>
  <c r="B66" i="1"/>
  <c r="C66" i="1" s="1"/>
  <c r="D68" i="1"/>
  <c r="B68" i="1"/>
  <c r="C68" i="1" s="1"/>
  <c r="D70" i="1"/>
  <c r="B70" i="1"/>
  <c r="C70" i="1" s="1"/>
  <c r="D72" i="1"/>
  <c r="B72" i="1"/>
  <c r="C72" i="1" s="1"/>
  <c r="D74" i="1"/>
  <c r="B74" i="1"/>
  <c r="C74" i="1" s="1"/>
  <c r="D76" i="1"/>
  <c r="B76" i="1"/>
  <c r="C76" i="1" s="1"/>
  <c r="D78" i="1"/>
  <c r="B78" i="1"/>
  <c r="C78" i="1" s="1"/>
  <c r="D80" i="1"/>
  <c r="B80" i="1"/>
  <c r="C80" i="1" s="1"/>
  <c r="D82" i="1"/>
  <c r="B82" i="1"/>
  <c r="C82" i="1" s="1"/>
  <c r="D84" i="1"/>
  <c r="B84" i="1"/>
  <c r="C84" i="1" s="1"/>
  <c r="D86" i="1"/>
  <c r="B86" i="1"/>
  <c r="C86" i="1" s="1"/>
  <c r="D88" i="1"/>
  <c r="B88" i="1"/>
  <c r="C88" i="1" s="1"/>
  <c r="D90" i="1"/>
  <c r="B90" i="1"/>
  <c r="C90" i="1" s="1"/>
  <c r="D92" i="1"/>
  <c r="B92" i="1"/>
  <c r="C92" i="1" s="1"/>
  <c r="D94" i="1"/>
  <c r="B94" i="1"/>
  <c r="C94" i="1" s="1"/>
  <c r="D96" i="1"/>
  <c r="B96" i="1"/>
  <c r="C96" i="1" s="1"/>
  <c r="D98" i="1"/>
  <c r="B98" i="1"/>
  <c r="C98" i="1" s="1"/>
  <c r="D100" i="1"/>
  <c r="B100" i="1"/>
  <c r="C100" i="1" s="1"/>
  <c r="D102" i="1"/>
  <c r="B102" i="1"/>
  <c r="C102" i="1" s="1"/>
  <c r="D104" i="1"/>
  <c r="B104" i="1"/>
  <c r="C104" i="1" s="1"/>
  <c r="D106" i="1"/>
  <c r="B106" i="1"/>
  <c r="C106" i="1" s="1"/>
  <c r="D108" i="1"/>
  <c r="B108" i="1"/>
  <c r="C108" i="1" s="1"/>
  <c r="D110" i="1"/>
  <c r="B110" i="1"/>
  <c r="C110" i="1" s="1"/>
  <c r="D112" i="1"/>
  <c r="B112" i="1"/>
  <c r="C112" i="1" s="1"/>
  <c r="D114" i="1"/>
  <c r="B114" i="1"/>
  <c r="C114" i="1" s="1"/>
  <c r="D116" i="1"/>
  <c r="B116" i="1"/>
  <c r="C116" i="1" s="1"/>
  <c r="D118" i="1"/>
  <c r="B118" i="1"/>
  <c r="C118" i="1" s="1"/>
  <c r="D121" i="1"/>
  <c r="B121" i="1"/>
  <c r="C121" i="1" s="1"/>
  <c r="D123" i="1"/>
  <c r="B123" i="1"/>
  <c r="C123" i="1" s="1"/>
  <c r="D125" i="1"/>
  <c r="B125" i="1"/>
  <c r="C125" i="1" s="1"/>
  <c r="D127" i="1"/>
  <c r="B127" i="1"/>
  <c r="C127" i="1" s="1"/>
  <c r="D129" i="1"/>
  <c r="B129" i="1"/>
  <c r="C129" i="1" s="1"/>
  <c r="D131" i="1"/>
  <c r="B131" i="1"/>
  <c r="C131" i="1" s="1"/>
  <c r="D235" i="1"/>
  <c r="B235" i="1"/>
  <c r="C235" i="1" s="1"/>
  <c r="D192" i="1"/>
  <c r="B192" i="1"/>
  <c r="C192" i="1" s="1"/>
  <c r="B194" i="1"/>
  <c r="C194" i="1" s="1"/>
  <c r="D194" i="1"/>
  <c r="D196" i="1"/>
  <c r="B196" i="1"/>
  <c r="C196" i="1" s="1"/>
  <c r="B198" i="1"/>
  <c r="C198" i="1" s="1"/>
  <c r="D198" i="1"/>
  <c r="D200" i="1"/>
  <c r="B200" i="1"/>
  <c r="C200" i="1" s="1"/>
  <c r="B202" i="1"/>
  <c r="C202" i="1" s="1"/>
  <c r="D202" i="1"/>
  <c r="D204" i="1"/>
  <c r="B204" i="1"/>
  <c r="C204" i="1" s="1"/>
  <c r="B206" i="1"/>
  <c r="C206" i="1" s="1"/>
  <c r="D206" i="1"/>
  <c r="D208" i="1"/>
  <c r="B208" i="1"/>
  <c r="C208" i="1" s="1"/>
  <c r="B210" i="1"/>
  <c r="C210" i="1" s="1"/>
  <c r="D210" i="1"/>
  <c r="D212" i="1"/>
  <c r="B212" i="1"/>
  <c r="C212" i="1" s="1"/>
  <c r="B214" i="1"/>
  <c r="C214" i="1" s="1"/>
  <c r="D214" i="1"/>
  <c r="D216" i="1"/>
  <c r="B216" i="1"/>
  <c r="C216" i="1" s="1"/>
  <c r="B218" i="1"/>
  <c r="C218" i="1" s="1"/>
  <c r="D218" i="1"/>
  <c r="D220" i="1"/>
  <c r="B220" i="1"/>
  <c r="C220" i="1" s="1"/>
  <c r="B222" i="1"/>
  <c r="C222" i="1" s="1"/>
  <c r="D222" i="1"/>
  <c r="D224" i="1"/>
  <c r="B224" i="1"/>
  <c r="C224" i="1" s="1"/>
  <c r="B226" i="1"/>
  <c r="C226" i="1" s="1"/>
  <c r="D226" i="1"/>
  <c r="D228" i="1"/>
  <c r="B228" i="1"/>
  <c r="C228" i="1" s="1"/>
  <c r="B230" i="1"/>
  <c r="C230" i="1" s="1"/>
  <c r="D230" i="1"/>
  <c r="D232" i="1"/>
  <c r="B232" i="1"/>
  <c r="C232" i="1" s="1"/>
  <c r="B234" i="1"/>
  <c r="C234" i="1" s="1"/>
  <c r="D234" i="1"/>
  <c r="D156" i="1"/>
  <c r="B156" i="1"/>
  <c r="C156" i="1" s="1"/>
  <c r="B158" i="1"/>
  <c r="C158" i="1" s="1"/>
  <c r="D158" i="1"/>
  <c r="D160" i="1"/>
  <c r="B160" i="1"/>
  <c r="C160" i="1" s="1"/>
  <c r="B162" i="1"/>
  <c r="C162" i="1" s="1"/>
  <c r="D162" i="1"/>
  <c r="D164" i="1"/>
  <c r="B164" i="1"/>
  <c r="C164" i="1" s="1"/>
  <c r="B166" i="1"/>
  <c r="C166" i="1" s="1"/>
  <c r="D166" i="1"/>
  <c r="D168" i="1"/>
  <c r="B168" i="1"/>
  <c r="C168" i="1" s="1"/>
  <c r="B170" i="1"/>
  <c r="C170" i="1" s="1"/>
  <c r="D170" i="1"/>
  <c r="D172" i="1"/>
  <c r="B172" i="1"/>
  <c r="C172" i="1" s="1"/>
  <c r="B174" i="1"/>
  <c r="C174" i="1" s="1"/>
  <c r="D174" i="1"/>
  <c r="D176" i="1"/>
  <c r="B176" i="1"/>
  <c r="C176" i="1" s="1"/>
  <c r="B178" i="1"/>
  <c r="C178" i="1" s="1"/>
  <c r="D178" i="1"/>
  <c r="D180" i="1"/>
  <c r="B180" i="1"/>
  <c r="C180" i="1" s="1"/>
  <c r="B182" i="1"/>
  <c r="C182" i="1" s="1"/>
  <c r="D182" i="1"/>
  <c r="D187" i="1"/>
  <c r="B187" i="1"/>
  <c r="C187" i="1" s="1"/>
  <c r="B189" i="1"/>
  <c r="C189" i="1" s="1"/>
  <c r="D189" i="1"/>
  <c r="D139" i="1"/>
  <c r="B139" i="1"/>
  <c r="C139" i="1" s="1"/>
  <c r="B141" i="1"/>
  <c r="C141" i="1" s="1"/>
  <c r="D141" i="1"/>
  <c r="D143" i="1"/>
  <c r="B143" i="1"/>
  <c r="C143" i="1" s="1"/>
  <c r="B145" i="1"/>
  <c r="C145" i="1" s="1"/>
  <c r="D145" i="1"/>
  <c r="D147" i="1"/>
  <c r="B147" i="1"/>
  <c r="C147" i="1" s="1"/>
  <c r="B149" i="1"/>
  <c r="C149" i="1" s="1"/>
  <c r="D149" i="1"/>
  <c r="D151" i="1"/>
  <c r="B151" i="1"/>
  <c r="C151" i="1" s="1"/>
  <c r="B153" i="1"/>
  <c r="C153" i="1" s="1"/>
  <c r="D153" i="1"/>
  <c r="B4" i="1"/>
  <c r="C4" i="1" s="1"/>
  <c r="B8" i="1"/>
  <c r="C8" i="1" s="1"/>
  <c r="B14" i="1"/>
  <c r="C14" i="1" s="1"/>
  <c r="B18" i="1"/>
  <c r="C18" i="1" s="1"/>
  <c r="B22" i="1"/>
  <c r="C22" i="1" s="1"/>
  <c r="B26" i="1"/>
  <c r="C26" i="1" s="1"/>
  <c r="D33" i="1"/>
  <c r="B35" i="1"/>
  <c r="C35" i="1" s="1"/>
  <c r="E7" i="299"/>
  <c r="E8" i="299"/>
  <c r="E9" i="299"/>
  <c r="E10" i="299"/>
  <c r="E11" i="299"/>
  <c r="E12" i="299"/>
  <c r="E13" i="299"/>
  <c r="E14" i="299"/>
  <c r="E15" i="299"/>
  <c r="E16" i="299"/>
  <c r="E17" i="299"/>
  <c r="E18" i="299"/>
  <c r="E19" i="299"/>
  <c r="E20" i="299"/>
  <c r="E21" i="299"/>
  <c r="E22" i="299"/>
  <c r="E23" i="299"/>
  <c r="E24" i="299"/>
  <c r="E25" i="299"/>
  <c r="E26" i="299"/>
  <c r="E27" i="299"/>
  <c r="E28" i="299"/>
  <c r="E29" i="299"/>
  <c r="E30" i="299"/>
  <c r="E31" i="299"/>
  <c r="E32" i="299"/>
  <c r="E6" i="299"/>
  <c r="E7" i="276"/>
  <c r="E8" i="276"/>
  <c r="E9" i="276"/>
  <c r="E10" i="276"/>
  <c r="E11" i="276"/>
  <c r="E12" i="276"/>
  <c r="E13" i="276"/>
  <c r="E14" i="276"/>
  <c r="E15" i="276"/>
  <c r="E16" i="276"/>
  <c r="E17" i="276"/>
  <c r="E18" i="276"/>
  <c r="E19" i="276"/>
  <c r="E20" i="276"/>
  <c r="E21" i="276"/>
  <c r="E22" i="276"/>
  <c r="E23" i="276"/>
  <c r="E24" i="276"/>
  <c r="E25" i="276"/>
  <c r="E26" i="276"/>
  <c r="E27" i="276"/>
  <c r="E28" i="276"/>
  <c r="E29" i="276"/>
  <c r="E30" i="276"/>
  <c r="E31" i="276"/>
  <c r="E32" i="276"/>
  <c r="E6" i="276"/>
  <c r="D7" i="276"/>
  <c r="D8" i="276"/>
  <c r="D9" i="276"/>
  <c r="D10" i="276"/>
  <c r="D11" i="276"/>
  <c r="D12" i="276"/>
  <c r="D13" i="276"/>
  <c r="D14" i="276"/>
  <c r="D15" i="276"/>
  <c r="D16" i="276"/>
  <c r="D17" i="276"/>
  <c r="D18" i="276"/>
  <c r="D19" i="276"/>
  <c r="D20" i="276"/>
  <c r="D21" i="276"/>
  <c r="D22" i="276"/>
  <c r="D23" i="276"/>
  <c r="D24" i="276"/>
  <c r="D25" i="276"/>
  <c r="D26" i="276"/>
  <c r="D27" i="276"/>
  <c r="D28" i="276"/>
  <c r="D29" i="276"/>
  <c r="D30" i="276"/>
  <c r="D31" i="276"/>
  <c r="D32" i="276"/>
  <c r="D6" i="276"/>
  <c r="F6" i="281" l="1"/>
  <c r="D6" i="281"/>
  <c r="E32" i="281"/>
  <c r="D32" i="281"/>
  <c r="E31" i="281"/>
  <c r="D31" i="281"/>
  <c r="E30" i="281"/>
  <c r="D30" i="281"/>
  <c r="E29" i="281"/>
  <c r="D29" i="281"/>
  <c r="E28" i="281"/>
  <c r="D28" i="281"/>
  <c r="E27" i="281"/>
  <c r="D27" i="281"/>
  <c r="E26" i="281"/>
  <c r="D26" i="281"/>
  <c r="E25" i="281"/>
  <c r="D25" i="281"/>
  <c r="E24" i="281"/>
  <c r="D24" i="281"/>
  <c r="E23" i="281"/>
  <c r="D23" i="281"/>
  <c r="E22" i="281"/>
  <c r="D22" i="281"/>
  <c r="E21" i="281"/>
  <c r="D21" i="281"/>
  <c r="E20" i="281"/>
  <c r="D20" i="281"/>
  <c r="E19" i="281"/>
  <c r="D19" i="281"/>
  <c r="E18" i="281"/>
  <c r="D18" i="281"/>
  <c r="E17" i="281"/>
  <c r="D17" i="281"/>
  <c r="E16" i="281"/>
  <c r="D16" i="281"/>
  <c r="E15" i="281"/>
  <c r="D15" i="281"/>
  <c r="E14" i="281"/>
  <c r="D14" i="281"/>
  <c r="E13" i="281"/>
  <c r="D13" i="281"/>
  <c r="E12" i="281"/>
  <c r="D12" i="281"/>
  <c r="E11" i="281"/>
  <c r="D11" i="281"/>
  <c r="E10" i="281"/>
  <c r="D10" i="281"/>
  <c r="E9" i="281"/>
  <c r="D9" i="281"/>
  <c r="E8" i="281"/>
  <c r="D8" i="281"/>
  <c r="E7" i="281"/>
  <c r="D7" i="281"/>
  <c r="E6" i="281"/>
  <c r="E7" i="282" l="1"/>
  <c r="E8" i="282"/>
  <c r="E9" i="282"/>
  <c r="E10" i="282"/>
  <c r="E11" i="282"/>
  <c r="E12" i="282"/>
  <c r="E13" i="282"/>
  <c r="E14" i="282"/>
  <c r="E15" i="282"/>
  <c r="E16" i="282"/>
  <c r="E17" i="282"/>
  <c r="E18" i="282"/>
  <c r="E19" i="282"/>
  <c r="E20" i="282"/>
  <c r="E21" i="282"/>
  <c r="E22" i="282"/>
  <c r="E23" i="282"/>
  <c r="E24" i="282"/>
  <c r="E25" i="282"/>
  <c r="E26" i="282"/>
  <c r="E27" i="282"/>
  <c r="E28" i="282"/>
  <c r="E29" i="282"/>
  <c r="E30" i="282"/>
  <c r="E31" i="282"/>
  <c r="E32" i="282"/>
  <c r="E6" i="282"/>
  <c r="D7" i="282"/>
  <c r="D8" i="282"/>
  <c r="D9" i="282"/>
  <c r="D10" i="282"/>
  <c r="D11" i="282"/>
  <c r="D12" i="282"/>
  <c r="D13" i="282"/>
  <c r="D14" i="282"/>
  <c r="D15" i="282"/>
  <c r="D16" i="282"/>
  <c r="D17" i="282"/>
  <c r="D18" i="282"/>
  <c r="D19" i="282"/>
  <c r="D20" i="282"/>
  <c r="D21" i="282"/>
  <c r="D22" i="282"/>
  <c r="D23" i="282"/>
  <c r="D24" i="282"/>
  <c r="D25" i="282"/>
  <c r="D26" i="282"/>
  <c r="D27" i="282"/>
  <c r="D28" i="282"/>
  <c r="D29" i="282"/>
  <c r="D30" i="282"/>
  <c r="D31" i="282"/>
  <c r="D32" i="282"/>
  <c r="D6" i="282"/>
  <c r="E7" i="274"/>
  <c r="E8" i="274"/>
  <c r="E9" i="274"/>
  <c r="E10" i="274"/>
  <c r="E11" i="274"/>
  <c r="E12" i="274"/>
  <c r="E13" i="274"/>
  <c r="E14" i="274"/>
  <c r="E15" i="274"/>
  <c r="E16" i="274"/>
  <c r="E17" i="274"/>
  <c r="E18" i="274"/>
  <c r="E19" i="274"/>
  <c r="E20" i="274"/>
  <c r="E21" i="274"/>
  <c r="E22" i="274"/>
  <c r="E23" i="274"/>
  <c r="E24" i="274"/>
  <c r="E25" i="274"/>
  <c r="E26" i="274"/>
  <c r="E27" i="274"/>
  <c r="E28" i="274"/>
  <c r="E29" i="274"/>
  <c r="E30" i="274"/>
  <c r="E31" i="274"/>
  <c r="E32" i="274"/>
  <c r="E6" i="274"/>
  <c r="D10" i="274"/>
  <c r="D11" i="274"/>
  <c r="D12" i="274"/>
  <c r="D13" i="274"/>
  <c r="D14" i="274"/>
  <c r="D15" i="274"/>
  <c r="D16" i="274"/>
  <c r="D17" i="274"/>
  <c r="D18" i="274"/>
  <c r="D19" i="274"/>
  <c r="D20" i="274"/>
  <c r="D21" i="274"/>
  <c r="D22" i="274"/>
  <c r="D23" i="274"/>
  <c r="D24" i="274"/>
  <c r="D25" i="274"/>
  <c r="D26" i="274"/>
  <c r="D27" i="274"/>
  <c r="D28" i="274"/>
  <c r="D29" i="274"/>
  <c r="D30" i="274"/>
  <c r="D31" i="274"/>
  <c r="D32" i="274"/>
  <c r="D7" i="274"/>
  <c r="D8" i="274"/>
  <c r="D9" i="274"/>
  <c r="E7" i="271"/>
  <c r="E8" i="271"/>
  <c r="E9" i="271"/>
  <c r="E10" i="271"/>
  <c r="E11" i="271"/>
  <c r="E12" i="271"/>
  <c r="E13" i="271"/>
  <c r="E14" i="271"/>
  <c r="E15" i="271"/>
  <c r="E16" i="271"/>
  <c r="E17" i="271"/>
  <c r="E18" i="271"/>
  <c r="E19" i="271"/>
  <c r="E20" i="271"/>
  <c r="E21" i="271"/>
  <c r="E22" i="271"/>
  <c r="E23" i="271"/>
  <c r="E24" i="271"/>
  <c r="E25" i="271"/>
  <c r="E26" i="271"/>
  <c r="E27" i="271"/>
  <c r="E28" i="271"/>
  <c r="E29" i="271"/>
  <c r="E30" i="271"/>
  <c r="E31" i="271"/>
  <c r="E32" i="271"/>
  <c r="E6" i="271"/>
  <c r="D7" i="271"/>
  <c r="D8" i="271"/>
  <c r="D9" i="271"/>
  <c r="D10" i="271"/>
  <c r="D11" i="271"/>
  <c r="D12" i="271"/>
  <c r="D13" i="271"/>
  <c r="D14" i="271"/>
  <c r="D15" i="271"/>
  <c r="D16" i="271"/>
  <c r="D17" i="271"/>
  <c r="D18" i="271"/>
  <c r="D19" i="271"/>
  <c r="D20" i="271"/>
  <c r="D21" i="271"/>
  <c r="D22" i="271"/>
  <c r="D23" i="271"/>
  <c r="D24" i="271"/>
  <c r="D25" i="271"/>
  <c r="D26" i="271"/>
  <c r="D27" i="271"/>
  <c r="D28" i="271"/>
  <c r="D29" i="271"/>
  <c r="D30" i="271"/>
  <c r="D31" i="271"/>
  <c r="D32" i="271"/>
  <c r="D6" i="271"/>
  <c r="D6" i="274"/>
  <c r="A4" i="115" l="1"/>
  <c r="A4" i="109"/>
  <c r="D7" i="100"/>
  <c r="D8" i="100"/>
  <c r="D9" i="100"/>
  <c r="D10" i="100"/>
  <c r="D11" i="100"/>
  <c r="D6" i="100"/>
  <c r="A4" i="62"/>
  <c r="A4" i="277"/>
  <c r="E22" i="197"/>
  <c r="D7" i="107" l="1"/>
  <c r="D8" i="107"/>
  <c r="D9" i="107"/>
  <c r="D6" i="107"/>
  <c r="H13" i="255" l="1"/>
  <c r="H13" i="253"/>
  <c r="I13" i="245"/>
  <c r="G5" i="226"/>
  <c r="F5" i="226"/>
  <c r="E5" i="226"/>
  <c r="D5" i="226"/>
  <c r="C5" i="226"/>
  <c r="B5" i="226"/>
  <c r="A5" i="226"/>
  <c r="G13" i="194"/>
  <c r="G12" i="194"/>
  <c r="G11" i="194"/>
  <c r="G10" i="194"/>
  <c r="G9" i="194"/>
  <c r="G8" i="194"/>
  <c r="G7" i="194"/>
  <c r="G6" i="194"/>
  <c r="G5" i="194"/>
  <c r="B13" i="226"/>
  <c r="C13" i="226"/>
  <c r="D13" i="226"/>
  <c r="E13" i="226"/>
  <c r="F13" i="226"/>
  <c r="G13" i="226"/>
  <c r="F13" i="194"/>
  <c r="E13" i="194"/>
  <c r="D13" i="194"/>
  <c r="C13" i="194"/>
  <c r="B13" i="194"/>
  <c r="A13" i="194"/>
  <c r="F12" i="194"/>
  <c r="E12" i="194"/>
  <c r="D12" i="194"/>
  <c r="C12" i="194"/>
  <c r="B12" i="194"/>
  <c r="A12" i="194"/>
  <c r="F11" i="194"/>
  <c r="E11" i="194"/>
  <c r="D11" i="194"/>
  <c r="C11" i="194"/>
  <c r="B11" i="194"/>
  <c r="A11" i="194"/>
  <c r="F10" i="194"/>
  <c r="E10" i="194"/>
  <c r="D10" i="194"/>
  <c r="C10" i="194"/>
  <c r="B10" i="194"/>
  <c r="A10" i="194"/>
  <c r="F9" i="194"/>
  <c r="E9" i="194"/>
  <c r="D9" i="194"/>
  <c r="C9" i="194"/>
  <c r="B9" i="194"/>
  <c r="A9" i="194"/>
  <c r="F8" i="194"/>
  <c r="E8" i="194"/>
  <c r="D8" i="194"/>
  <c r="C8" i="194"/>
  <c r="B8" i="194"/>
  <c r="A8" i="194"/>
  <c r="F7" i="194"/>
  <c r="E7" i="194"/>
  <c r="D7" i="194"/>
  <c r="C7" i="194"/>
  <c r="B7" i="194"/>
  <c r="A7" i="194"/>
  <c r="F6" i="194"/>
  <c r="E6" i="194"/>
  <c r="D6" i="194"/>
  <c r="C6" i="194"/>
  <c r="B6" i="194"/>
  <c r="A6" i="194"/>
  <c r="F5" i="194"/>
  <c r="E5" i="194"/>
  <c r="D5" i="194"/>
  <c r="C5" i="194"/>
  <c r="B5" i="194"/>
  <c r="A5" i="194"/>
  <c r="G13" i="192"/>
  <c r="E13" i="192"/>
  <c r="D13" i="192"/>
  <c r="C13" i="192"/>
  <c r="B13" i="192"/>
  <c r="A13" i="192"/>
  <c r="G12" i="192"/>
  <c r="E12" i="192"/>
  <c r="D12" i="192"/>
  <c r="C12" i="192"/>
  <c r="B12" i="192"/>
  <c r="A12" i="192"/>
  <c r="G11" i="192"/>
  <c r="E11" i="192"/>
  <c r="D11" i="192"/>
  <c r="C11" i="192"/>
  <c r="B11" i="192"/>
  <c r="A11" i="192"/>
  <c r="G10" i="192"/>
  <c r="E10" i="192"/>
  <c r="D10" i="192"/>
  <c r="C10" i="192"/>
  <c r="B10" i="192"/>
  <c r="A10" i="192"/>
  <c r="G9" i="192"/>
  <c r="E9" i="192"/>
  <c r="D9" i="192"/>
  <c r="C9" i="192"/>
  <c r="B9" i="192"/>
  <c r="A9" i="192"/>
  <c r="G8" i="192"/>
  <c r="E8" i="192"/>
  <c r="D8" i="192"/>
  <c r="C8" i="192"/>
  <c r="B8" i="192"/>
  <c r="A8" i="192"/>
  <c r="G7" i="192"/>
  <c r="E7" i="192"/>
  <c r="D7" i="192"/>
  <c r="C7" i="192"/>
  <c r="B7" i="192"/>
  <c r="A7" i="192"/>
  <c r="G6" i="192"/>
  <c r="E6" i="192"/>
  <c r="D6" i="192"/>
  <c r="C6" i="192"/>
  <c r="B6" i="192"/>
  <c r="A6" i="192"/>
  <c r="G5" i="192"/>
  <c r="E5" i="192"/>
  <c r="D5" i="192"/>
  <c r="C5" i="192"/>
  <c r="B5" i="192"/>
  <c r="A5" i="192"/>
  <c r="A13" i="224"/>
  <c r="A12" i="224"/>
  <c r="A11" i="224"/>
  <c r="A10" i="224"/>
  <c r="A9" i="224"/>
  <c r="A8" i="224"/>
  <c r="A7" i="224"/>
  <c r="A6" i="224"/>
  <c r="F5" i="224"/>
  <c r="E5" i="224"/>
  <c r="D5" i="224"/>
  <c r="C5" i="224"/>
  <c r="B5" i="224"/>
  <c r="A5" i="224"/>
  <c r="B13" i="223"/>
  <c r="B13" i="224" s="1"/>
  <c r="C13" i="223"/>
  <c r="C13" i="224" s="1"/>
  <c r="D13" i="223"/>
  <c r="D13" i="224" s="1"/>
  <c r="E13" i="223"/>
  <c r="E13" i="224" s="1"/>
  <c r="F13" i="224"/>
  <c r="F13" i="190"/>
  <c r="E13" i="190"/>
  <c r="D13" i="190"/>
  <c r="C13" i="190"/>
  <c r="B13" i="190"/>
  <c r="A13" i="190"/>
  <c r="F12" i="190"/>
  <c r="E12" i="190"/>
  <c r="D12" i="190"/>
  <c r="C12" i="190"/>
  <c r="B12" i="190"/>
  <c r="A12" i="190"/>
  <c r="F11" i="190"/>
  <c r="E11" i="190"/>
  <c r="D11" i="190"/>
  <c r="C11" i="190"/>
  <c r="B11" i="190"/>
  <c r="A11" i="190"/>
  <c r="F10" i="190"/>
  <c r="E10" i="190"/>
  <c r="D10" i="190"/>
  <c r="C10" i="190"/>
  <c r="B10" i="190"/>
  <c r="A10" i="190"/>
  <c r="F9" i="190"/>
  <c r="E9" i="190"/>
  <c r="D9" i="190"/>
  <c r="C9" i="190"/>
  <c r="B9" i="190"/>
  <c r="A9" i="190"/>
  <c r="F8" i="190"/>
  <c r="E8" i="190"/>
  <c r="D8" i="190"/>
  <c r="C8" i="190"/>
  <c r="B8" i="190"/>
  <c r="A8" i="190"/>
  <c r="F7" i="190"/>
  <c r="E7" i="190"/>
  <c r="D7" i="190"/>
  <c r="C7" i="190"/>
  <c r="B7" i="190"/>
  <c r="A7" i="190"/>
  <c r="F6" i="190"/>
  <c r="E6" i="190"/>
  <c r="D6" i="190"/>
  <c r="C6" i="190"/>
  <c r="B6" i="190"/>
  <c r="A6" i="190"/>
  <c r="F5" i="190"/>
  <c r="E5" i="190"/>
  <c r="D5" i="190"/>
  <c r="C5" i="190"/>
  <c r="B5" i="190"/>
  <c r="A5" i="190"/>
  <c r="E13" i="188"/>
  <c r="D13" i="188"/>
  <c r="C13" i="188"/>
  <c r="B13" i="188"/>
  <c r="A13" i="188"/>
  <c r="E12" i="188"/>
  <c r="D12" i="188"/>
  <c r="C12" i="188"/>
  <c r="B12" i="188"/>
  <c r="A12" i="188"/>
  <c r="E11" i="188"/>
  <c r="D11" i="188"/>
  <c r="C11" i="188"/>
  <c r="B11" i="188"/>
  <c r="A11" i="188"/>
  <c r="E10" i="188"/>
  <c r="D10" i="188"/>
  <c r="C10" i="188"/>
  <c r="B10" i="188"/>
  <c r="A10" i="188"/>
  <c r="E9" i="188"/>
  <c r="D9" i="188"/>
  <c r="C9" i="188"/>
  <c r="B9" i="188"/>
  <c r="A9" i="188"/>
  <c r="E8" i="188"/>
  <c r="D8" i="188"/>
  <c r="C8" i="188"/>
  <c r="B8" i="188"/>
  <c r="A8" i="188"/>
  <c r="E7" i="188"/>
  <c r="D7" i="188"/>
  <c r="C7" i="188"/>
  <c r="B7" i="188"/>
  <c r="A7" i="188"/>
  <c r="E6" i="188"/>
  <c r="D6" i="188"/>
  <c r="C6" i="188"/>
  <c r="B6" i="188"/>
  <c r="A6" i="188"/>
  <c r="E5" i="188"/>
  <c r="D5" i="188"/>
  <c r="C5" i="188"/>
  <c r="B5" i="188"/>
  <c r="A5" i="188"/>
  <c r="F13" i="186"/>
  <c r="E13" i="186"/>
  <c r="D13" i="186"/>
  <c r="C13" i="186"/>
  <c r="B13" i="186"/>
  <c r="A13" i="186"/>
  <c r="F12" i="186"/>
  <c r="E12" i="186"/>
  <c r="D12" i="186"/>
  <c r="C12" i="186"/>
  <c r="B12" i="186"/>
  <c r="A12" i="186"/>
  <c r="F11" i="186"/>
  <c r="E11" i="186"/>
  <c r="D11" i="186"/>
  <c r="C11" i="186"/>
  <c r="B11" i="186"/>
  <c r="A11" i="186"/>
  <c r="F10" i="186"/>
  <c r="E10" i="186"/>
  <c r="D10" i="186"/>
  <c r="C10" i="186"/>
  <c r="B10" i="186"/>
  <c r="A10" i="186"/>
  <c r="F9" i="186"/>
  <c r="E9" i="186"/>
  <c r="D9" i="186"/>
  <c r="C9" i="186"/>
  <c r="B9" i="186"/>
  <c r="A9" i="186"/>
  <c r="F8" i="186"/>
  <c r="E8" i="186"/>
  <c r="D8" i="186"/>
  <c r="C8" i="186"/>
  <c r="B8" i="186"/>
  <c r="A8" i="186"/>
  <c r="F7" i="186"/>
  <c r="E7" i="186"/>
  <c r="D7" i="186"/>
  <c r="C7" i="186"/>
  <c r="B7" i="186"/>
  <c r="A7" i="186"/>
  <c r="F6" i="186"/>
  <c r="E6" i="186"/>
  <c r="D6" i="186"/>
  <c r="C6" i="186"/>
  <c r="B6" i="186"/>
  <c r="A6" i="186"/>
  <c r="F5" i="186"/>
  <c r="E5" i="186"/>
  <c r="D5" i="186"/>
  <c r="C5" i="186"/>
  <c r="B5" i="186"/>
  <c r="A5" i="186"/>
  <c r="A13" i="256" l="1"/>
  <c r="G12" i="256"/>
  <c r="F12" i="256"/>
  <c r="E12" i="256"/>
  <c r="D12" i="256"/>
  <c r="C12" i="256"/>
  <c r="B12" i="256"/>
  <c r="A12" i="256"/>
  <c r="G11" i="256"/>
  <c r="F11" i="256"/>
  <c r="E11" i="256"/>
  <c r="D11" i="256"/>
  <c r="C11" i="256"/>
  <c r="B11" i="256"/>
  <c r="A11" i="256"/>
  <c r="G10" i="256"/>
  <c r="F10" i="256"/>
  <c r="E10" i="256"/>
  <c r="D10" i="256"/>
  <c r="C10" i="256"/>
  <c r="B10" i="256"/>
  <c r="A10" i="256"/>
  <c r="G9" i="256"/>
  <c r="F9" i="256"/>
  <c r="E9" i="256"/>
  <c r="D9" i="256"/>
  <c r="C9" i="256"/>
  <c r="B9" i="256"/>
  <c r="A9" i="256"/>
  <c r="G8" i="256"/>
  <c r="F8" i="256"/>
  <c r="E8" i="256"/>
  <c r="D8" i="256"/>
  <c r="C8" i="256"/>
  <c r="B8" i="256"/>
  <c r="A8" i="256"/>
  <c r="G7" i="256"/>
  <c r="F7" i="256"/>
  <c r="E7" i="256"/>
  <c r="D7" i="256"/>
  <c r="C7" i="256"/>
  <c r="B7" i="256"/>
  <c r="A7" i="256"/>
  <c r="G6" i="256"/>
  <c r="F6" i="256"/>
  <c r="E6" i="256"/>
  <c r="D6" i="256"/>
  <c r="C6" i="256"/>
  <c r="B6" i="256"/>
  <c r="A6" i="256"/>
  <c r="G5" i="256"/>
  <c r="F5" i="256"/>
  <c r="E5" i="256"/>
  <c r="D5" i="256"/>
  <c r="C5" i="256"/>
  <c r="B5" i="256"/>
  <c r="A5" i="256"/>
  <c r="F13" i="256"/>
  <c r="A13" i="273"/>
  <c r="G12" i="273"/>
  <c r="F12" i="273"/>
  <c r="E12" i="273"/>
  <c r="D12" i="273"/>
  <c r="C12" i="273"/>
  <c r="B12" i="273"/>
  <c r="A12" i="273"/>
  <c r="G11" i="273"/>
  <c r="F11" i="273"/>
  <c r="E11" i="273"/>
  <c r="D11" i="273"/>
  <c r="C11" i="273"/>
  <c r="B11" i="273"/>
  <c r="A11" i="273"/>
  <c r="G10" i="273"/>
  <c r="F10" i="273"/>
  <c r="E10" i="273"/>
  <c r="D10" i="273"/>
  <c r="C10" i="273"/>
  <c r="B10" i="273"/>
  <c r="A10" i="273"/>
  <c r="G9" i="273"/>
  <c r="F9" i="273"/>
  <c r="E9" i="273"/>
  <c r="D9" i="273"/>
  <c r="C9" i="273"/>
  <c r="B9" i="273"/>
  <c r="A9" i="273"/>
  <c r="G8" i="273"/>
  <c r="F8" i="273"/>
  <c r="E8" i="273"/>
  <c r="D8" i="273"/>
  <c r="C8" i="273"/>
  <c r="B8" i="273"/>
  <c r="A8" i="273"/>
  <c r="G7" i="273"/>
  <c r="F7" i="273"/>
  <c r="E7" i="273"/>
  <c r="D7" i="273"/>
  <c r="C7" i="273"/>
  <c r="B7" i="273"/>
  <c r="A7" i="273"/>
  <c r="G6" i="273"/>
  <c r="F6" i="273"/>
  <c r="E6" i="273"/>
  <c r="D6" i="273"/>
  <c r="C6" i="273"/>
  <c r="B6" i="273"/>
  <c r="A6" i="273"/>
  <c r="G5" i="273"/>
  <c r="F5" i="273"/>
  <c r="E5" i="273"/>
  <c r="D5" i="273"/>
  <c r="C5" i="273"/>
  <c r="B5" i="273"/>
  <c r="A5" i="273"/>
  <c r="F13" i="273"/>
  <c r="A13" i="252"/>
  <c r="G12" i="252"/>
  <c r="F12" i="252"/>
  <c r="E12" i="252"/>
  <c r="D12" i="252"/>
  <c r="C12" i="252"/>
  <c r="B12" i="252"/>
  <c r="A12" i="252"/>
  <c r="G11" i="252"/>
  <c r="F11" i="252"/>
  <c r="E11" i="252"/>
  <c r="D11" i="252"/>
  <c r="C11" i="252"/>
  <c r="B11" i="252"/>
  <c r="A11" i="252"/>
  <c r="G10" i="252"/>
  <c r="F10" i="252"/>
  <c r="E10" i="252"/>
  <c r="D10" i="252"/>
  <c r="C10" i="252"/>
  <c r="B10" i="252"/>
  <c r="A10" i="252"/>
  <c r="G9" i="252"/>
  <c r="F9" i="252"/>
  <c r="E9" i="252"/>
  <c r="D9" i="252"/>
  <c r="C9" i="252"/>
  <c r="B9" i="252"/>
  <c r="A9" i="252"/>
  <c r="G8" i="252"/>
  <c r="F8" i="252"/>
  <c r="E8" i="252"/>
  <c r="D8" i="252"/>
  <c r="C8" i="252"/>
  <c r="B8" i="252"/>
  <c r="A8" i="252"/>
  <c r="G7" i="252"/>
  <c r="F7" i="252"/>
  <c r="E7" i="252"/>
  <c r="D7" i="252"/>
  <c r="C7" i="252"/>
  <c r="B7" i="252"/>
  <c r="A7" i="252"/>
  <c r="G6" i="252"/>
  <c r="F6" i="252"/>
  <c r="E6" i="252"/>
  <c r="D6" i="252"/>
  <c r="C6" i="252"/>
  <c r="B6" i="252"/>
  <c r="A6" i="252"/>
  <c r="G5" i="252"/>
  <c r="F5" i="252"/>
  <c r="E5" i="252"/>
  <c r="D5" i="252"/>
  <c r="C5" i="252"/>
  <c r="B5" i="252"/>
  <c r="A5" i="252"/>
  <c r="F13" i="252"/>
  <c r="F5" i="254"/>
  <c r="E5" i="254"/>
  <c r="D5" i="254"/>
  <c r="C5" i="254"/>
  <c r="B5" i="254"/>
  <c r="A5" i="254"/>
  <c r="A8" i="308"/>
  <c r="A7" i="308"/>
  <c r="A6" i="308"/>
  <c r="G5" i="308"/>
  <c r="E5" i="308"/>
  <c r="D5" i="308"/>
  <c r="C5" i="308"/>
  <c r="B5" i="308"/>
  <c r="A5" i="308"/>
  <c r="F6" i="307"/>
  <c r="A8" i="307"/>
  <c r="A7" i="307"/>
  <c r="A6" i="307"/>
  <c r="G5" i="307"/>
  <c r="F5" i="307"/>
  <c r="E5" i="307"/>
  <c r="D5" i="307"/>
  <c r="C5" i="307"/>
  <c r="B5" i="307"/>
  <c r="A5" i="307"/>
  <c r="G5" i="306"/>
  <c r="A8" i="306"/>
  <c r="A7" i="306"/>
  <c r="A6" i="306"/>
  <c r="F5" i="306"/>
  <c r="E5" i="306"/>
  <c r="D5" i="306"/>
  <c r="C5" i="306"/>
  <c r="B5" i="306"/>
  <c r="A5" i="306"/>
  <c r="A5" i="248"/>
  <c r="F7" i="306" l="1"/>
  <c r="F8" i="307"/>
  <c r="F7" i="307"/>
  <c r="F6" i="306"/>
  <c r="F8" i="306"/>
  <c r="B5" i="247"/>
  <c r="B5" i="248" s="1"/>
  <c r="A6" i="246"/>
  <c r="B5" i="246"/>
  <c r="A4" i="309"/>
  <c r="A3" i="309"/>
  <c r="B12" i="240"/>
  <c r="C5" i="237"/>
  <c r="C5" i="238" s="1"/>
  <c r="D5" i="237"/>
  <c r="E5" i="237"/>
  <c r="G5" i="238"/>
  <c r="H5" i="237"/>
  <c r="B5" i="237"/>
  <c r="E10" i="238" l="1"/>
  <c r="D10" i="238"/>
  <c r="D11" i="238"/>
  <c r="E11" i="238"/>
  <c r="E5" i="238"/>
  <c r="G8" i="238"/>
  <c r="H5" i="238"/>
  <c r="F5" i="238"/>
  <c r="D5" i="238"/>
  <c r="D6" i="238"/>
  <c r="F8" i="238"/>
  <c r="B5" i="238"/>
  <c r="B5" i="302" s="1"/>
  <c r="B5" i="301" s="1"/>
  <c r="F7" i="238"/>
  <c r="C15" i="87"/>
  <c r="B17" i="87"/>
  <c r="B18" i="195" l="1"/>
  <c r="E18" i="195"/>
  <c r="C18" i="195"/>
  <c r="D8" i="238"/>
  <c r="C11" i="238"/>
  <c r="C10" i="238"/>
  <c r="D18" i="195"/>
  <c r="E7" i="238"/>
  <c r="F6" i="238"/>
  <c r="F12" i="238"/>
  <c r="D7" i="238"/>
  <c r="C7" i="238"/>
  <c r="G11" i="238"/>
  <c r="E8" i="238"/>
  <c r="C6" i="238"/>
  <c r="G12" i="238"/>
  <c r="E9" i="238"/>
  <c r="C9" i="238"/>
  <c r="E6" i="238"/>
  <c r="G10" i="238"/>
  <c r="G6" i="238"/>
  <c r="G7" i="238"/>
  <c r="D9" i="238"/>
  <c r="G9" i="238"/>
  <c r="C8" i="238"/>
  <c r="F9" i="238"/>
  <c r="H6" i="238" l="1"/>
  <c r="H9" i="238"/>
  <c r="H7" i="238"/>
  <c r="H8" i="238"/>
  <c r="C15" i="122"/>
  <c r="I13" i="85" l="1"/>
  <c r="H13" i="85"/>
  <c r="J7" i="85"/>
  <c r="J8" i="85"/>
  <c r="J9" i="85"/>
  <c r="J10" i="85"/>
  <c r="J6" i="85"/>
  <c r="D15" i="81"/>
  <c r="I14" i="85" l="1"/>
  <c r="G12" i="226" l="1"/>
  <c r="F12" i="226"/>
  <c r="E12" i="226"/>
  <c r="D12" i="226"/>
  <c r="C12" i="226"/>
  <c r="B12" i="226"/>
  <c r="G11" i="226"/>
  <c r="F11" i="226"/>
  <c r="E11" i="226"/>
  <c r="D11" i="226"/>
  <c r="C11" i="226"/>
  <c r="B11" i="226"/>
  <c r="G10" i="226"/>
  <c r="F10" i="226"/>
  <c r="E10" i="226"/>
  <c r="D10" i="226"/>
  <c r="C10" i="226"/>
  <c r="B10" i="226"/>
  <c r="G9" i="226"/>
  <c r="F9" i="226"/>
  <c r="E9" i="226"/>
  <c r="D9" i="226"/>
  <c r="C9" i="226"/>
  <c r="B9" i="226"/>
  <c r="G8" i="226"/>
  <c r="F8" i="226"/>
  <c r="E8" i="226"/>
  <c r="D8" i="226"/>
  <c r="C8" i="226"/>
  <c r="B8" i="226"/>
  <c r="G7" i="226"/>
  <c r="F7" i="226"/>
  <c r="E7" i="226"/>
  <c r="D7" i="226"/>
  <c r="C7" i="226"/>
  <c r="B7" i="226"/>
  <c r="G6" i="226"/>
  <c r="F6" i="226"/>
  <c r="E6" i="226"/>
  <c r="D6" i="226"/>
  <c r="C6" i="226"/>
  <c r="B6" i="226"/>
  <c r="A4" i="194"/>
  <c r="H12" i="192"/>
  <c r="F12" i="224"/>
  <c r="E12" i="223"/>
  <c r="E12" i="224" s="1"/>
  <c r="D12" i="223"/>
  <c r="D12" i="224" s="1"/>
  <c r="C12" i="223"/>
  <c r="C12" i="224" s="1"/>
  <c r="B12" i="223"/>
  <c r="B12" i="224" s="1"/>
  <c r="F11" i="224"/>
  <c r="E11" i="223"/>
  <c r="E11" i="224" s="1"/>
  <c r="D11" i="223"/>
  <c r="D11" i="224" s="1"/>
  <c r="C11" i="223"/>
  <c r="C11" i="224" s="1"/>
  <c r="B11" i="223"/>
  <c r="B11" i="224" s="1"/>
  <c r="F10" i="224"/>
  <c r="E10" i="223"/>
  <c r="E10" i="224" s="1"/>
  <c r="D10" i="223"/>
  <c r="D10" i="224" s="1"/>
  <c r="C10" i="223"/>
  <c r="C10" i="224" s="1"/>
  <c r="B10" i="223"/>
  <c r="B10" i="224" s="1"/>
  <c r="F9" i="224"/>
  <c r="E9" i="223"/>
  <c r="E9" i="224" s="1"/>
  <c r="D9" i="223"/>
  <c r="D9" i="224" s="1"/>
  <c r="C9" i="223"/>
  <c r="C9" i="224" s="1"/>
  <c r="B9" i="223"/>
  <c r="B9" i="224" s="1"/>
  <c r="F8" i="224"/>
  <c r="E8" i="223"/>
  <c r="E8" i="224" s="1"/>
  <c r="D8" i="223"/>
  <c r="D8" i="224" s="1"/>
  <c r="C8" i="223"/>
  <c r="C8" i="224" s="1"/>
  <c r="B8" i="223"/>
  <c r="B8" i="224" s="1"/>
  <c r="F7" i="224"/>
  <c r="E7" i="223"/>
  <c r="E7" i="224" s="1"/>
  <c r="D7" i="223"/>
  <c r="D7" i="224" s="1"/>
  <c r="C7" i="223"/>
  <c r="C7" i="224" s="1"/>
  <c r="B7" i="223"/>
  <c r="B7" i="224" s="1"/>
  <c r="F6" i="224"/>
  <c r="E6" i="223"/>
  <c r="E6" i="224" s="1"/>
  <c r="D6" i="223"/>
  <c r="D6" i="224" s="1"/>
  <c r="C6" i="223"/>
  <c r="C6" i="224" s="1"/>
  <c r="B6" i="223"/>
  <c r="B6" i="224" s="1"/>
  <c r="A4" i="256"/>
  <c r="A3" i="256"/>
  <c r="A4" i="255"/>
  <c r="A3" i="255"/>
  <c r="A4" i="273"/>
  <c r="A3" i="273"/>
  <c r="A4" i="272"/>
  <c r="A3" i="272"/>
  <c r="A4" i="252"/>
  <c r="A3" i="252"/>
  <c r="A4" i="251"/>
  <c r="A3" i="251"/>
  <c r="A4" i="254"/>
  <c r="A3" i="254"/>
  <c r="H12" i="253"/>
  <c r="A4" i="253"/>
  <c r="A3" i="253"/>
  <c r="A3" i="307"/>
  <c r="A4" i="247"/>
  <c r="A3" i="247"/>
  <c r="A4" i="246"/>
  <c r="A3" i="246"/>
  <c r="A4" i="245"/>
  <c r="A3" i="245"/>
  <c r="A3" i="244"/>
  <c r="G14" i="243"/>
  <c r="F14" i="243"/>
  <c r="E14" i="243"/>
  <c r="D14" i="243"/>
  <c r="C14" i="243"/>
  <c r="B14" i="243"/>
  <c r="G13" i="243"/>
  <c r="F13" i="243"/>
  <c r="E13" i="243"/>
  <c r="D13" i="243"/>
  <c r="C13" i="243"/>
  <c r="B13" i="243"/>
  <c r="A13" i="243"/>
  <c r="G12" i="243"/>
  <c r="F12" i="243"/>
  <c r="E12" i="243"/>
  <c r="D12" i="243"/>
  <c r="C12" i="243"/>
  <c r="B12" i="243"/>
  <c r="A12" i="243"/>
  <c r="G11" i="243"/>
  <c r="F11" i="243"/>
  <c r="E11" i="243"/>
  <c r="D11" i="243"/>
  <c r="C11" i="243"/>
  <c r="B11" i="243"/>
  <c r="A11" i="243"/>
  <c r="G10" i="243"/>
  <c r="F10" i="243"/>
  <c r="E10" i="243"/>
  <c r="D10" i="243"/>
  <c r="C10" i="243"/>
  <c r="B10" i="243"/>
  <c r="A10" i="243"/>
  <c r="G9" i="243"/>
  <c r="F9" i="243"/>
  <c r="E9" i="243"/>
  <c r="D9" i="243"/>
  <c r="C9" i="243"/>
  <c r="B9" i="243"/>
  <c r="A9" i="243"/>
  <c r="G8" i="243"/>
  <c r="F8" i="243"/>
  <c r="E8" i="243"/>
  <c r="D8" i="243"/>
  <c r="C8" i="243"/>
  <c r="B8" i="243"/>
  <c r="A8" i="243"/>
  <c r="G7" i="243"/>
  <c r="F7" i="243"/>
  <c r="E7" i="243"/>
  <c r="D7" i="243"/>
  <c r="C7" i="243"/>
  <c r="B7" i="243"/>
  <c r="A7" i="243"/>
  <c r="G6" i="243"/>
  <c r="F6" i="243"/>
  <c r="E6" i="243"/>
  <c r="D6" i="243"/>
  <c r="C6" i="243"/>
  <c r="B6" i="243"/>
  <c r="A6" i="243"/>
  <c r="A4" i="243"/>
  <c r="A3" i="243"/>
  <c r="B4" i="242"/>
  <c r="B3" i="242"/>
  <c r="A4" i="241"/>
  <c r="A3" i="241"/>
  <c r="B11" i="240"/>
  <c r="B10" i="240"/>
  <c r="B9" i="240"/>
  <c r="B8" i="240"/>
  <c r="B7" i="240"/>
  <c r="B6" i="240"/>
  <c r="A4" i="240"/>
  <c r="A3" i="240"/>
  <c r="D11" i="239"/>
  <c r="A4" i="239"/>
  <c r="A3" i="239"/>
  <c r="A4" i="301"/>
  <c r="A3" i="301"/>
  <c r="B11" i="238"/>
  <c r="B10" i="238"/>
  <c r="B9" i="238"/>
  <c r="B8" i="238"/>
  <c r="B7" i="238"/>
  <c r="B6" i="238"/>
  <c r="A4" i="238"/>
  <c r="A3" i="238"/>
  <c r="A3" i="237"/>
  <c r="A4" i="236"/>
  <c r="A3" i="236"/>
  <c r="A4" i="235"/>
  <c r="A3" i="235"/>
  <c r="A4" i="234"/>
  <c r="A3" i="234"/>
  <c r="I10" i="233"/>
  <c r="I9" i="233"/>
  <c r="I8" i="233"/>
  <c r="I7" i="233"/>
  <c r="A3" i="298"/>
  <c r="D32" i="299"/>
  <c r="D31" i="299"/>
  <c r="D30" i="299"/>
  <c r="D29" i="299"/>
  <c r="D28" i="299"/>
  <c r="D27" i="299"/>
  <c r="D26" i="299"/>
  <c r="D25" i="299"/>
  <c r="D24" i="299"/>
  <c r="D23" i="299"/>
  <c r="D22" i="299"/>
  <c r="D21" i="299"/>
  <c r="D20" i="299"/>
  <c r="D19" i="299"/>
  <c r="D18" i="299"/>
  <c r="D17" i="299"/>
  <c r="D16" i="299"/>
  <c r="D15" i="299"/>
  <c r="D14" i="299"/>
  <c r="D13" i="299"/>
  <c r="D12" i="299"/>
  <c r="D11" i="299"/>
  <c r="D10" i="299"/>
  <c r="D9" i="299"/>
  <c r="D8" i="299"/>
  <c r="D7" i="299"/>
  <c r="A4" i="299"/>
  <c r="A3" i="299"/>
  <c r="A4" i="297"/>
  <c r="A3" i="297"/>
  <c r="A4" i="276"/>
  <c r="A3" i="276"/>
  <c r="A4" i="167"/>
  <c r="A3" i="167"/>
  <c r="A4" i="274"/>
  <c r="A3" i="274"/>
  <c r="A4" i="282"/>
  <c r="A3" i="282"/>
  <c r="A4" i="281"/>
  <c r="A3" i="281"/>
  <c r="A4" i="271"/>
  <c r="A3" i="271"/>
  <c r="B17" i="280"/>
  <c r="A4" i="280"/>
  <c r="A3" i="280"/>
  <c r="A4" i="137"/>
  <c r="A3" i="137"/>
  <c r="A4" i="165"/>
  <c r="A3" i="165"/>
  <c r="A4" i="166"/>
  <c r="A3" i="166"/>
  <c r="A4" i="136"/>
  <c r="A3" i="136"/>
  <c r="A4" i="160"/>
  <c r="A3" i="160"/>
  <c r="A4" i="135"/>
  <c r="A3" i="135"/>
  <c r="A4" i="134"/>
  <c r="A3" i="134"/>
  <c r="A4" i="133"/>
  <c r="A3" i="133"/>
  <c r="A4" i="202"/>
  <c r="A3" i="202"/>
  <c r="A4" i="201"/>
  <c r="A3" i="201"/>
  <c r="A4" i="200"/>
  <c r="A3" i="200"/>
  <c r="A4" i="199"/>
  <c r="A3" i="199"/>
  <c r="A4" i="206"/>
  <c r="A3" i="206"/>
  <c r="A4" i="205"/>
  <c r="A3" i="205"/>
  <c r="A4" i="204"/>
  <c r="A3" i="204"/>
  <c r="D17" i="203"/>
  <c r="C17" i="203"/>
  <c r="B17" i="203"/>
  <c r="A4" i="203"/>
  <c r="A3" i="203"/>
  <c r="A4" i="132"/>
  <c r="A3" i="132"/>
  <c r="A4" i="131"/>
  <c r="A3" i="131"/>
  <c r="A4" i="130"/>
  <c r="A3" i="130"/>
  <c r="D17" i="129"/>
  <c r="C17" i="129"/>
  <c r="B17" i="129"/>
  <c r="A4" i="129"/>
  <c r="A3" i="129"/>
  <c r="D8" i="128"/>
  <c r="A4" i="128"/>
  <c r="A3" i="128"/>
  <c r="A4" i="127"/>
  <c r="A3" i="127"/>
  <c r="B17" i="126"/>
  <c r="C15" i="126"/>
  <c r="C14" i="126"/>
  <c r="C13" i="126"/>
  <c r="C12" i="126"/>
  <c r="C11" i="126"/>
  <c r="C10" i="126"/>
  <c r="C9" i="126"/>
  <c r="C8" i="126"/>
  <c r="C7" i="126"/>
  <c r="A4" i="126"/>
  <c r="A3" i="126"/>
  <c r="A4" i="125"/>
  <c r="A3" i="125"/>
  <c r="A4" i="124"/>
  <c r="A3" i="124"/>
  <c r="A4" i="123"/>
  <c r="A3" i="123"/>
  <c r="B17" i="122"/>
  <c r="A4" i="122"/>
  <c r="A3" i="122"/>
  <c r="A4" i="121"/>
  <c r="A3" i="121"/>
  <c r="A4" i="120"/>
  <c r="A3" i="120"/>
  <c r="A4" i="119"/>
  <c r="A3" i="119"/>
  <c r="A4" i="118"/>
  <c r="A3" i="118"/>
  <c r="B17" i="117"/>
  <c r="C15" i="117"/>
  <c r="A4" i="117"/>
  <c r="A3" i="117"/>
  <c r="A4" i="209"/>
  <c r="A3" i="209"/>
  <c r="A4" i="208"/>
  <c r="A3" i="208"/>
  <c r="K9" i="207"/>
  <c r="K10" i="207" s="1"/>
  <c r="J9" i="207"/>
  <c r="J10" i="207" s="1"/>
  <c r="I9" i="207"/>
  <c r="I10" i="207" s="1"/>
  <c r="H9" i="207"/>
  <c r="H10" i="207" s="1"/>
  <c r="G9" i="207"/>
  <c r="G10" i="207" s="1"/>
  <c r="F9" i="207"/>
  <c r="F10" i="207" s="1"/>
  <c r="E9" i="207"/>
  <c r="E10" i="207" s="1"/>
  <c r="D9" i="207"/>
  <c r="D10" i="207" s="1"/>
  <c r="C9" i="207"/>
  <c r="C10" i="207" s="1"/>
  <c r="B9" i="207"/>
  <c r="B10" i="207" s="1"/>
  <c r="A4" i="207"/>
  <c r="A3" i="207"/>
  <c r="C27" i="198"/>
  <c r="B27" i="198"/>
  <c r="A4" i="198"/>
  <c r="A3" i="198"/>
  <c r="A4" i="116"/>
  <c r="A3" i="116"/>
  <c r="C19" i="115"/>
  <c r="B19" i="115"/>
  <c r="A3" i="115"/>
  <c r="A4" i="114"/>
  <c r="A3" i="114"/>
  <c r="A4" i="113"/>
  <c r="A3" i="113"/>
  <c r="A4" i="112"/>
  <c r="A3" i="112"/>
  <c r="A4" i="111"/>
  <c r="A3" i="111"/>
  <c r="E15" i="110"/>
  <c r="D15" i="110"/>
  <c r="D15" i="109"/>
  <c r="D14" i="109"/>
  <c r="E14" i="109" s="1"/>
  <c r="D13" i="109"/>
  <c r="E13" i="109" s="1"/>
  <c r="D12" i="109"/>
  <c r="E12" i="109" s="1"/>
  <c r="D11" i="109"/>
  <c r="E11" i="109" s="1"/>
  <c r="D10" i="109"/>
  <c r="E10" i="109" s="1"/>
  <c r="D9" i="109"/>
  <c r="E9" i="109" s="1"/>
  <c r="D8" i="109"/>
  <c r="E8" i="109" s="1"/>
  <c r="D7" i="109"/>
  <c r="E7" i="109" s="1"/>
  <c r="D6" i="109"/>
  <c r="E6" i="109" s="1"/>
  <c r="A3" i="109"/>
  <c r="A4" i="108"/>
  <c r="A3" i="108"/>
  <c r="A4" i="107"/>
  <c r="A3" i="107"/>
  <c r="A4" i="106"/>
  <c r="A3" i="106"/>
  <c r="A4" i="105"/>
  <c r="A3" i="105"/>
  <c r="D15" i="104"/>
  <c r="D14" i="104"/>
  <c r="D13" i="104"/>
  <c r="D12" i="104"/>
  <c r="D11" i="104"/>
  <c r="D10" i="104"/>
  <c r="D9" i="104"/>
  <c r="D8" i="104"/>
  <c r="D7" i="104"/>
  <c r="D6" i="104"/>
  <c r="A4" i="104"/>
  <c r="A3" i="104"/>
  <c r="A4" i="103"/>
  <c r="A3" i="103"/>
  <c r="B17" i="102"/>
  <c r="C17" i="102" s="1"/>
  <c r="C15" i="102"/>
  <c r="C14" i="102"/>
  <c r="C13" i="102"/>
  <c r="C12" i="102"/>
  <c r="C11" i="102"/>
  <c r="C10" i="102"/>
  <c r="C9" i="102"/>
  <c r="C8" i="102"/>
  <c r="C7" i="102"/>
  <c r="A4" i="102"/>
  <c r="A3" i="102"/>
  <c r="D25" i="101"/>
  <c r="D24" i="101"/>
  <c r="D23" i="101"/>
  <c r="D22" i="101"/>
  <c r="D21" i="101"/>
  <c r="D20" i="101"/>
  <c r="D19" i="101"/>
  <c r="D18" i="101"/>
  <c r="D17" i="101"/>
  <c r="D16" i="101"/>
  <c r="D15" i="101"/>
  <c r="D14" i="101"/>
  <c r="D13" i="101"/>
  <c r="D12" i="101"/>
  <c r="D11" i="101"/>
  <c r="D10" i="101"/>
  <c r="D9" i="101"/>
  <c r="D8" i="101"/>
  <c r="D7" i="101"/>
  <c r="D6" i="101"/>
  <c r="A4" i="101"/>
  <c r="A3" i="101"/>
  <c r="A4" i="100"/>
  <c r="A3" i="100"/>
  <c r="A4" i="99"/>
  <c r="A3" i="99"/>
  <c r="A4" i="98"/>
  <c r="A3" i="98"/>
  <c r="A4" i="97"/>
  <c r="A3" i="97"/>
  <c r="A4" i="96"/>
  <c r="A3" i="96"/>
  <c r="A4" i="95"/>
  <c r="A3" i="95"/>
  <c r="A4" i="267"/>
  <c r="A3" i="267"/>
  <c r="A4" i="94"/>
  <c r="A3" i="94"/>
  <c r="B17" i="93"/>
  <c r="C17" i="93" s="1"/>
  <c r="C15" i="93"/>
  <c r="C14" i="93"/>
  <c r="C13" i="93"/>
  <c r="C12" i="93"/>
  <c r="C11" i="93"/>
  <c r="C10" i="93"/>
  <c r="C9" i="93"/>
  <c r="C8" i="93"/>
  <c r="C7" i="93"/>
  <c r="A4" i="93"/>
  <c r="A3" i="93"/>
  <c r="A4" i="92"/>
  <c r="A3" i="92"/>
  <c r="A4" i="91"/>
  <c r="A3" i="91"/>
  <c r="A4" i="90"/>
  <c r="A3" i="90"/>
  <c r="A4" i="89"/>
  <c r="A3" i="89"/>
  <c r="A4" i="88"/>
  <c r="A3" i="88"/>
  <c r="A4" i="87"/>
  <c r="A3" i="87"/>
  <c r="A4" i="86"/>
  <c r="A3" i="86"/>
  <c r="I12" i="85"/>
  <c r="H12" i="85"/>
  <c r="G12" i="85"/>
  <c r="F12" i="85"/>
  <c r="E12" i="85"/>
  <c r="D12" i="85"/>
  <c r="C12" i="85"/>
  <c r="B12" i="85"/>
  <c r="A4" i="85"/>
  <c r="A3" i="85"/>
  <c r="A4" i="83"/>
  <c r="A3" i="83"/>
  <c r="A4" i="82"/>
  <c r="A3" i="82"/>
  <c r="B17" i="81"/>
  <c r="B18" i="81" s="1"/>
  <c r="C15" i="81"/>
  <c r="A4" i="81"/>
  <c r="A3" i="81"/>
  <c r="A4" i="80"/>
  <c r="A3" i="80"/>
  <c r="A4" i="79"/>
  <c r="A3" i="79"/>
  <c r="A4" i="78"/>
  <c r="A3" i="78"/>
  <c r="B47" i="77"/>
  <c r="A4" i="77"/>
  <c r="A3" i="77"/>
  <c r="A4" i="231"/>
  <c r="A3" i="231"/>
  <c r="A4" i="230"/>
  <c r="A3" i="230"/>
  <c r="A4" i="229"/>
  <c r="A3" i="229"/>
  <c r="A4" i="73"/>
  <c r="A3" i="73"/>
  <c r="A4" i="72"/>
  <c r="A3" i="72"/>
  <c r="A4" i="71"/>
  <c r="A3" i="71"/>
  <c r="A4" i="70"/>
  <c r="A3" i="70"/>
  <c r="A4" i="69"/>
  <c r="A3" i="69"/>
  <c r="C11" i="68"/>
  <c r="A4" i="68"/>
  <c r="A3" i="68"/>
  <c r="A4" i="66"/>
  <c r="A3" i="66"/>
  <c r="A4" i="65"/>
  <c r="A3" i="65"/>
  <c r="C15" i="64"/>
  <c r="A4" i="64"/>
  <c r="A3" i="64"/>
  <c r="A4" i="63"/>
  <c r="A3" i="63"/>
  <c r="A3" i="62"/>
  <c r="A4" i="61"/>
  <c r="A3" i="61"/>
  <c r="E15" i="60"/>
  <c r="E14" i="60"/>
  <c r="E13" i="60"/>
  <c r="E12" i="60"/>
  <c r="E11" i="60"/>
  <c r="E10" i="60"/>
  <c r="E9" i="60"/>
  <c r="E8" i="60"/>
  <c r="E7" i="60"/>
  <c r="E6" i="60"/>
  <c r="A4" i="60"/>
  <c r="A3" i="60"/>
  <c r="A4" i="59"/>
  <c r="A3" i="59"/>
  <c r="E15" i="58"/>
  <c r="E14" i="58"/>
  <c r="E13" i="58"/>
  <c r="E12" i="58"/>
  <c r="E11" i="58"/>
  <c r="E10" i="58"/>
  <c r="E9" i="58"/>
  <c r="E8" i="58"/>
  <c r="E7" i="58"/>
  <c r="E6" i="58"/>
  <c r="A4" i="58"/>
  <c r="A3" i="58"/>
  <c r="A4" i="57"/>
  <c r="A3" i="57"/>
  <c r="A4" i="56"/>
  <c r="A3" i="56"/>
  <c r="A4" i="54"/>
  <c r="A3" i="54"/>
  <c r="A4" i="53"/>
  <c r="A3" i="53"/>
  <c r="A4" i="52"/>
  <c r="A3" i="52"/>
  <c r="A4" i="51"/>
  <c r="A3" i="51"/>
  <c r="B17" i="50"/>
  <c r="C17" i="50" s="1"/>
  <c r="C15" i="50"/>
  <c r="C14" i="50"/>
  <c r="C13" i="50"/>
  <c r="C12" i="50"/>
  <c r="C11" i="50"/>
  <c r="C10" i="50"/>
  <c r="C9" i="50"/>
  <c r="C8" i="50"/>
  <c r="C7" i="50"/>
  <c r="A4" i="50"/>
  <c r="A3" i="50"/>
  <c r="C27" i="49"/>
  <c r="B27" i="49"/>
  <c r="A4" i="49"/>
  <c r="A3" i="49"/>
  <c r="A4" i="48"/>
  <c r="A3" i="48"/>
  <c r="A4" i="47"/>
  <c r="A3" i="47"/>
  <c r="B20" i="46"/>
  <c r="B19" i="46"/>
  <c r="A4" i="46"/>
  <c r="A3" i="46"/>
  <c r="A4" i="45"/>
  <c r="A3" i="45"/>
  <c r="A4" i="44"/>
  <c r="A3" i="44"/>
  <c r="A4" i="43"/>
  <c r="A3" i="43"/>
  <c r="A4" i="42"/>
  <c r="A3" i="42"/>
  <c r="A4" i="41"/>
  <c r="A3" i="41"/>
  <c r="A4" i="40"/>
  <c r="A3" i="40"/>
  <c r="C17" i="39"/>
  <c r="B17" i="39"/>
  <c r="A17" i="39" s="1"/>
  <c r="C15" i="39"/>
  <c r="C14" i="39"/>
  <c r="C13" i="39"/>
  <c r="C12" i="39"/>
  <c r="C11" i="39"/>
  <c r="C10" i="39"/>
  <c r="C9" i="39"/>
  <c r="C8" i="39"/>
  <c r="C7" i="39"/>
  <c r="A4" i="39"/>
  <c r="A3" i="39"/>
  <c r="C20" i="38"/>
  <c r="B20" i="38"/>
  <c r="A4" i="38"/>
  <c r="A3" i="38"/>
  <c r="A4" i="37"/>
  <c r="A3" i="37"/>
  <c r="A4" i="36"/>
  <c r="A3" i="36"/>
  <c r="A4" i="35"/>
  <c r="A3" i="35"/>
  <c r="A4" i="34"/>
  <c r="A3" i="34"/>
  <c r="A4" i="33"/>
  <c r="A3" i="33"/>
  <c r="M32" i="32"/>
  <c r="A4" i="32"/>
  <c r="A3" i="32"/>
  <c r="A4" i="31"/>
  <c r="A3" i="31"/>
  <c r="A4" i="30"/>
  <c r="A3" i="30"/>
  <c r="A4" i="29"/>
  <c r="A3" i="29"/>
  <c r="A4" i="28"/>
  <c r="A3" i="28"/>
  <c r="A4" i="27"/>
  <c r="A3" i="27"/>
  <c r="A4" i="26"/>
  <c r="A3" i="26"/>
  <c r="B17" i="25"/>
  <c r="C17" i="25" s="1"/>
  <c r="A4" i="25"/>
  <c r="A3" i="25"/>
  <c r="A4" i="24"/>
  <c r="A3" i="24"/>
  <c r="A4" i="162"/>
  <c r="A3" i="162"/>
  <c r="A4" i="23"/>
  <c r="A3" i="23"/>
  <c r="A4" i="303"/>
  <c r="A3" i="303"/>
  <c r="A4" i="22"/>
  <c r="A3" i="22"/>
  <c r="A4" i="21"/>
  <c r="A3" i="21"/>
  <c r="C13" i="20"/>
  <c r="C11" i="20"/>
  <c r="A4" i="20"/>
  <c r="A3" i="20"/>
  <c r="A4" i="19"/>
  <c r="A3" i="19"/>
  <c r="A4" i="18"/>
  <c r="A3" i="18"/>
  <c r="B17" i="17"/>
  <c r="C17" i="17" s="1"/>
  <c r="C15" i="17"/>
  <c r="C14" i="17"/>
  <c r="C13" i="17"/>
  <c r="C12" i="17"/>
  <c r="C11" i="17"/>
  <c r="C10" i="17"/>
  <c r="C9" i="17"/>
  <c r="C8" i="17"/>
  <c r="C7" i="17"/>
  <c r="A4" i="17"/>
  <c r="A3" i="17"/>
  <c r="A4" i="196"/>
  <c r="A3" i="196"/>
  <c r="A4" i="11"/>
  <c r="A3" i="11"/>
  <c r="E17" i="10"/>
  <c r="A4" i="10"/>
  <c r="A3" i="10"/>
  <c r="A4" i="9"/>
  <c r="A3" i="9"/>
  <c r="A4" i="8"/>
  <c r="A3" i="8"/>
  <c r="A4" i="197"/>
  <c r="A3" i="197"/>
  <c r="A4" i="7"/>
  <c r="A3" i="7"/>
  <c r="A4" i="6"/>
  <c r="A3" i="6"/>
  <c r="F8" i="109" l="1"/>
  <c r="F10" i="109"/>
  <c r="F12" i="109"/>
  <c r="F14" i="109"/>
  <c r="F7" i="109"/>
  <c r="F9" i="109"/>
  <c r="F11" i="109"/>
  <c r="F13" i="109"/>
  <c r="G7" i="10"/>
  <c r="G9" i="10"/>
  <c r="G11" i="10"/>
  <c r="G6" i="10"/>
  <c r="G8" i="10"/>
  <c r="G10" i="10"/>
  <c r="F13" i="10"/>
  <c r="E18" i="10"/>
  <c r="H7" i="243"/>
  <c r="E16" i="10"/>
  <c r="E17" i="60"/>
  <c r="F17" i="60" s="1"/>
  <c r="M9" i="32"/>
  <c r="M11" i="32"/>
  <c r="M13" i="32"/>
  <c r="M15" i="32"/>
  <c r="M17" i="32"/>
  <c r="M19" i="32"/>
  <c r="M21" i="32"/>
  <c r="M23" i="32"/>
  <c r="M25" i="32"/>
  <c r="M27" i="32"/>
  <c r="M29" i="32"/>
  <c r="M31" i="32"/>
  <c r="M6" i="32"/>
  <c r="M8" i="32"/>
  <c r="M10" i="32"/>
  <c r="M12" i="32"/>
  <c r="M14" i="32"/>
  <c r="M16" i="32"/>
  <c r="M18" i="32"/>
  <c r="M20" i="32"/>
  <c r="M22" i="32"/>
  <c r="M24" i="32"/>
  <c r="M26" i="32"/>
  <c r="M28" i="32"/>
  <c r="M30" i="32"/>
  <c r="E15" i="62"/>
  <c r="E16" i="58"/>
  <c r="E16" i="60"/>
  <c r="F15" i="58"/>
  <c r="E17" i="109"/>
  <c r="E18" i="109" s="1"/>
  <c r="E15" i="109"/>
  <c r="D17" i="109"/>
  <c r="E14" i="10"/>
  <c r="F10" i="238" l="1"/>
  <c r="F11" i="238"/>
  <c r="H11" i="238"/>
  <c r="I11" i="233"/>
  <c r="J11" i="233"/>
  <c r="E16" i="109"/>
  <c r="F15" i="109"/>
  <c r="H10" i="238" l="1"/>
  <c r="D13" i="252" l="1"/>
  <c r="C12" i="238" l="1"/>
  <c r="D12" i="238"/>
  <c r="E12" i="238"/>
  <c r="B12" i="238"/>
  <c r="E6" i="308"/>
  <c r="E6" i="307"/>
  <c r="E6" i="306"/>
  <c r="D8" i="308"/>
  <c r="D8" i="306"/>
  <c r="D8" i="307"/>
  <c r="D6" i="307"/>
  <c r="D6" i="306"/>
  <c r="D6" i="308"/>
  <c r="D7" i="308"/>
  <c r="D7" i="307"/>
  <c r="D7" i="306"/>
  <c r="C8" i="308"/>
  <c r="C8" i="307"/>
  <c r="C8" i="306"/>
  <c r="C6" i="308"/>
  <c r="C6" i="307"/>
  <c r="C6" i="306"/>
  <c r="C7" i="308"/>
  <c r="C7" i="307"/>
  <c r="C7" i="306"/>
  <c r="E8" i="308"/>
  <c r="E8" i="307"/>
  <c r="E8" i="306"/>
  <c r="E7" i="307"/>
  <c r="E7" i="308"/>
  <c r="E7" i="306"/>
  <c r="B8" i="308"/>
  <c r="B8" i="306"/>
  <c r="B8" i="307"/>
  <c r="B6" i="307"/>
  <c r="B6" i="308"/>
  <c r="B6" i="306"/>
  <c r="B7" i="308"/>
  <c r="B7" i="307"/>
  <c r="B7" i="306"/>
  <c r="D13" i="273"/>
  <c r="E13" i="256"/>
  <c r="B13" i="256"/>
  <c r="D13" i="256"/>
  <c r="C13" i="256"/>
  <c r="C13" i="273" l="1"/>
  <c r="C13" i="252"/>
  <c r="B13" i="273"/>
  <c r="B13" i="252"/>
  <c r="E13" i="273"/>
  <c r="E13" i="252"/>
  <c r="G6" i="307"/>
  <c r="G6" i="308"/>
  <c r="G6" i="306"/>
  <c r="G8" i="308"/>
  <c r="G8" i="307"/>
  <c r="G8" i="306"/>
  <c r="G7" i="308"/>
  <c r="G7" i="306"/>
  <c r="G7" i="307"/>
  <c r="G13" i="256"/>
  <c r="G13" i="273" l="1"/>
  <c r="G13" i="252"/>
  <c r="H12" i="238" l="1"/>
  <c r="H13" i="238"/>
  <c r="B15" i="237" l="1"/>
  <c r="C15" i="237"/>
  <c r="D15" i="237"/>
  <c r="E15" i="237"/>
  <c r="D15" i="192" l="1"/>
  <c r="D15" i="225"/>
  <c r="D15" i="226" s="1"/>
  <c r="E15" i="192"/>
  <c r="E15" i="225"/>
  <c r="E15" i="226" s="1"/>
  <c r="C15" i="192"/>
  <c r="C15" i="225"/>
  <c r="C15" i="226" s="1"/>
  <c r="B15" i="192"/>
  <c r="B15" i="225"/>
  <c r="B15" i="226" s="1"/>
  <c r="B15" i="186"/>
  <c r="B15" i="223"/>
  <c r="B15" i="224" s="1"/>
  <c r="C15" i="186"/>
  <c r="C15" i="223"/>
  <c r="C15" i="224" s="1"/>
  <c r="E15" i="186"/>
  <c r="E15" i="223"/>
  <c r="E15" i="224" s="1"/>
  <c r="H15" i="237"/>
  <c r="H14" i="238" s="1"/>
  <c r="D15" i="186"/>
  <c r="D15" i="223"/>
  <c r="D15" i="224" s="1"/>
  <c r="G15" i="192" l="1"/>
  <c r="G15" i="225"/>
  <c r="G15" i="226" s="1"/>
  <c r="F15" i="186"/>
  <c r="F15" i="223"/>
  <c r="F15" i="224" s="1"/>
  <c r="C14" i="237" l="1"/>
  <c r="D14" i="237"/>
  <c r="B14" i="237"/>
  <c r="F14" i="237"/>
  <c r="E14" i="237"/>
  <c r="B14" i="223" l="1"/>
  <c r="B14" i="224" s="1"/>
  <c r="B14" i="186"/>
  <c r="B14" i="225"/>
  <c r="B14" i="226" s="1"/>
  <c r="B14" i="192"/>
  <c r="E13" i="238"/>
  <c r="E14" i="238"/>
  <c r="D13" i="238"/>
  <c r="D14" i="238"/>
  <c r="E14" i="223"/>
  <c r="E14" i="224" s="1"/>
  <c r="E14" i="186"/>
  <c r="D14" i="186"/>
  <c r="D14" i="223"/>
  <c r="D14" i="224" s="1"/>
  <c r="E14" i="192"/>
  <c r="E14" i="225"/>
  <c r="E14" i="226" s="1"/>
  <c r="D14" i="225"/>
  <c r="D14" i="226" s="1"/>
  <c r="D14" i="192"/>
  <c r="F14" i="238"/>
  <c r="F13" i="238"/>
  <c r="C13" i="238"/>
  <c r="C14" i="238"/>
  <c r="F14" i="225"/>
  <c r="F14" i="226" s="1"/>
  <c r="F14" i="192"/>
  <c r="C14" i="223"/>
  <c r="C14" i="224" s="1"/>
  <c r="C14" i="186"/>
  <c r="B13" i="238"/>
  <c r="B14" i="238"/>
  <c r="C14" i="192"/>
  <c r="C14" i="225"/>
  <c r="C14" i="226" s="1"/>
</calcChain>
</file>

<file path=xl/sharedStrings.xml><?xml version="1.0" encoding="utf-8"?>
<sst xmlns="http://schemas.openxmlformats.org/spreadsheetml/2006/main" count="4261" uniqueCount="1434">
  <si>
    <t>Figura 4.5: Evolução da quantidade de carga paga transportada – Mercados Doméstico e Internacional – 2003 a 2012</t>
  </si>
  <si>
    <t>Figura 4.6: Variação anual da quantidade de carga paga transportada – Mercados Doméstico e Internacional – 2004 a 2012</t>
  </si>
  <si>
    <t>Tipo de Pessoal</t>
  </si>
  <si>
    <t>2011</t>
  </si>
  <si>
    <t>2012</t>
  </si>
  <si>
    <t>Pilotos e Co-pilotos</t>
  </si>
  <si>
    <t>Outras</t>
  </si>
  <si>
    <t>Empresa</t>
  </si>
  <si>
    <t>TAM</t>
  </si>
  <si>
    <t>Índústria</t>
  </si>
  <si>
    <t>Indústria</t>
  </si>
  <si>
    <t>Figura 4.30: Evolução da quantidade de carga paga transportada – Mercado Doméstico – 2003 a 2012</t>
  </si>
  <si>
    <t>Figura 4.31: Variação anual da quantidade de carga paga transportada – Mercado Doméstico – 2004 a 2012</t>
  </si>
  <si>
    <t>Figura 4.32: Participação das quatro principais empresas em termos de carga paga transportada – Mercado Doméstico – 2012</t>
  </si>
  <si>
    <t>Figura 4.33: Variação da carga paga transportada com relação ao ano anterior – Por empresa – Mercado Doméstico – 2012</t>
  </si>
  <si>
    <t>Figura 4.34: Carga paga transportada nas 20 principais rotas – Mercado Doméstico – 2012</t>
  </si>
  <si>
    <t>Figura 4.35: Carga paga despachada por unidade da federação – Mercado Doméstico – 2012</t>
  </si>
  <si>
    <t>Figura 4.52: Evolução da quantidade de carga paga transportada – Mercado Internacional – 2003 a 2012</t>
  </si>
  <si>
    <t>Figura 4.56: Participação das principais empresas na quantidade de carga paga transportada – Mercado Internacional – 2012</t>
  </si>
  <si>
    <t>Figura 4.59: Quantidade de carga paga transportada entre Brasil e demais 20 principais destinos internacionais – Mercado Internacional – 2012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</si>
  <si>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</si>
  <si>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</si>
  <si>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</si>
  <si>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</si>
  <si>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</si>
  <si>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</si>
  <si>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</si>
  <si>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</si>
  <si>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</si>
  <si>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</si>
  <si>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</si>
  <si>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</si>
  <si>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</si>
  <si>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</si>
  <si>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Airbus</t>
  </si>
  <si>
    <t>ATR</t>
  </si>
  <si>
    <t>Fokker</t>
  </si>
  <si>
    <t>Assentos de Passageiro Instalados</t>
  </si>
  <si>
    <t>0 (cargueiros)</t>
  </si>
  <si>
    <t>Até 50</t>
  </si>
  <si>
    <t>51 a 100</t>
  </si>
  <si>
    <t>Quantidade de Aeronaves</t>
  </si>
  <si>
    <t>Total</t>
  </si>
  <si>
    <t>Internacional</t>
  </si>
  <si>
    <t>2009</t>
  </si>
  <si>
    <t>2010</t>
  </si>
  <si>
    <t>Variação % no número de Voos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</si>
  <si>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</si>
  <si>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</si>
  <si>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</si>
  <si>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</si>
  <si>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</si>
  <si>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</si>
  <si>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</si>
  <si>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</si>
  <si>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</si>
  <si>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</si>
  <si>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</si>
  <si>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</si>
  <si>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Gol</t>
  </si>
  <si>
    <t>Azul</t>
  </si>
  <si>
    <t>Avianca</t>
  </si>
  <si>
    <t>Passaredo</t>
  </si>
  <si>
    <t>Outros</t>
  </si>
  <si>
    <t>Quantidade de Decolagens</t>
  </si>
  <si>
    <t>Sudeste</t>
  </si>
  <si>
    <t>Região</t>
  </si>
  <si>
    <t>Nordeste</t>
  </si>
  <si>
    <t>Sul</t>
  </si>
  <si>
    <t>Centro-Oeste</t>
  </si>
  <si>
    <t>Norte</t>
  </si>
  <si>
    <t>Variação % no ASK - Azul</t>
  </si>
  <si>
    <t>Variação % no ASK - Avianca</t>
  </si>
  <si>
    <t>Unidade da Federação</t>
  </si>
  <si>
    <t>AM</t>
  </si>
  <si>
    <t>MG</t>
  </si>
  <si>
    <t>SP</t>
  </si>
  <si>
    <t>PA</t>
  </si>
  <si>
    <t>RS</t>
  </si>
  <si>
    <t>MT</t>
  </si>
  <si>
    <t>SC</t>
  </si>
  <si>
    <t>BA</t>
  </si>
  <si>
    <t>PR</t>
  </si>
  <si>
    <t>RJ</t>
  </si>
  <si>
    <t>MS</t>
  </si>
  <si>
    <t>GO</t>
  </si>
  <si>
    <t>RO</t>
  </si>
  <si>
    <t>AC</t>
  </si>
  <si>
    <t>AP</t>
  </si>
  <si>
    <t>TO</t>
  </si>
  <si>
    <t>PE</t>
  </si>
  <si>
    <t>PB</t>
  </si>
  <si>
    <t>MA</t>
  </si>
  <si>
    <t>CE</t>
  </si>
  <si>
    <t>ES</t>
  </si>
  <si>
    <t>RN</t>
  </si>
  <si>
    <t>SE</t>
  </si>
  <si>
    <t>RR</t>
  </si>
  <si>
    <t>PI</t>
  </si>
  <si>
    <t>AL</t>
  </si>
  <si>
    <t>DF</t>
  </si>
  <si>
    <t>Aeroporto</t>
  </si>
  <si>
    <t>Absa</t>
  </si>
  <si>
    <t>Sete</t>
  </si>
  <si>
    <t>TOTAL</t>
  </si>
  <si>
    <t>Empresas Brasileiras</t>
  </si>
  <si>
    <t>Empresas Estrangeiras</t>
  </si>
  <si>
    <t>Variação % do número de Voos</t>
  </si>
  <si>
    <t>Demais Brasileiras</t>
  </si>
  <si>
    <t>American Airlines</t>
  </si>
  <si>
    <t>Demais Estrangeiras</t>
  </si>
  <si>
    <t>Continente</t>
  </si>
  <si>
    <t>País</t>
  </si>
  <si>
    <t>HOLANDA</t>
  </si>
  <si>
    <t>EMIRADOS ÁRABES UNIDOS</t>
  </si>
  <si>
    <t>VENEZUELA</t>
  </si>
  <si>
    <t>MÉXICO</t>
  </si>
  <si>
    <t>ITÁLIA</t>
  </si>
  <si>
    <t>REINO UNIDO</t>
  </si>
  <si>
    <t>COLÔMBIA</t>
  </si>
  <si>
    <t>PERU</t>
  </si>
  <si>
    <t>ALEMANHA</t>
  </si>
  <si>
    <t>ESPANHA</t>
  </si>
  <si>
    <t>FRANÇA</t>
  </si>
  <si>
    <t>CHILE</t>
  </si>
  <si>
    <t>PORTUGAL</t>
  </si>
  <si>
    <t>ARGENTINA</t>
  </si>
  <si>
    <t>ESTADOS UNIDOS</t>
  </si>
  <si>
    <t>Variação % no RPK</t>
  </si>
  <si>
    <t>Passageiros Pagos Transportados</t>
  </si>
  <si>
    <t>Variação % na quantidade de passageiros pagos</t>
  </si>
  <si>
    <t>Passageiros Pagos Embarcados</t>
  </si>
  <si>
    <t>SBVT-ES</t>
  </si>
  <si>
    <t>SNPD-MG</t>
  </si>
  <si>
    <t>SBVG-MG</t>
  </si>
  <si>
    <t>SBAX-MG</t>
  </si>
  <si>
    <t>SBZM-MG</t>
  </si>
  <si>
    <t>SBGV-MG</t>
  </si>
  <si>
    <t>SBUR-MG</t>
  </si>
  <si>
    <t>SBIP-MG</t>
  </si>
  <si>
    <t>SBMK-MG</t>
  </si>
  <si>
    <t>SBBH-MG</t>
  </si>
  <si>
    <t>SBUL-MG</t>
  </si>
  <si>
    <t>SBCF-MG</t>
  </si>
  <si>
    <t>SBCB-RJ</t>
  </si>
  <si>
    <t>SBCP-RJ</t>
  </si>
  <si>
    <t>SBRJ-RJ</t>
  </si>
  <si>
    <t>SBGL-RJ</t>
  </si>
  <si>
    <t>SBML-SP</t>
  </si>
  <si>
    <t>SBAE-SP</t>
  </si>
  <si>
    <t>SBAU-SP</t>
  </si>
  <si>
    <t>SBSJ-SP</t>
  </si>
  <si>
    <t>SBDN-SP</t>
  </si>
  <si>
    <t>SBSR-SP</t>
  </si>
  <si>
    <t>SBRP-SP</t>
  </si>
  <si>
    <t>SBKP-SP</t>
  </si>
  <si>
    <t>SBSP-SP</t>
  </si>
  <si>
    <t>SBGR-SP</t>
  </si>
  <si>
    <t>SBTE-PI</t>
  </si>
  <si>
    <t>SBAR-SE</t>
  </si>
  <si>
    <t>SBKG-PB</t>
  </si>
  <si>
    <t>SBJP-PB</t>
  </si>
  <si>
    <t>SBMO-AL</t>
  </si>
  <si>
    <t>SBIZ-MA</t>
  </si>
  <si>
    <t>SBSL-MA</t>
  </si>
  <si>
    <t>SBJU-CE</t>
  </si>
  <si>
    <t>SBFZ-CE</t>
  </si>
  <si>
    <t>SBFN-PE</t>
  </si>
  <si>
    <t>SBPL-PE</t>
  </si>
  <si>
    <t>SBRF-PE</t>
  </si>
  <si>
    <t>SBLE-BA</t>
  </si>
  <si>
    <t>SBTC-BA</t>
  </si>
  <si>
    <t>SNBR-BA</t>
  </si>
  <si>
    <t>SBQV-BA</t>
  </si>
  <si>
    <t>SBIL-BA</t>
  </si>
  <si>
    <t>SBPS-BA</t>
  </si>
  <si>
    <t>SBSV-BA</t>
  </si>
  <si>
    <t>SBDB-MS</t>
  </si>
  <si>
    <t>SBDO-MS</t>
  </si>
  <si>
    <t>SBCR-MS</t>
  </si>
  <si>
    <t>SBCG-MS</t>
  </si>
  <si>
    <t>SBAT-MT</t>
  </si>
  <si>
    <t>SWSI-MT</t>
  </si>
  <si>
    <t>SBCY-MT</t>
  </si>
  <si>
    <t>SWLC-GO</t>
  </si>
  <si>
    <t>SBCN-GO</t>
  </si>
  <si>
    <t>SBGO-GO</t>
  </si>
  <si>
    <t>SBBR-DF</t>
  </si>
  <si>
    <t>SBCH-SC</t>
  </si>
  <si>
    <t>SBJV-SC</t>
  </si>
  <si>
    <t>SBNF-SC</t>
  </si>
  <si>
    <t>SBFL-SC</t>
  </si>
  <si>
    <t>SBPK-RS</t>
  </si>
  <si>
    <t>SBSM-RS</t>
  </si>
  <si>
    <t>SBPF-RS</t>
  </si>
  <si>
    <t>SBCX-RS</t>
  </si>
  <si>
    <t>SBPA-RS</t>
  </si>
  <si>
    <t>SBCA-PR</t>
  </si>
  <si>
    <t>SBMG-PR</t>
  </si>
  <si>
    <t>SBLO-PR</t>
  </si>
  <si>
    <t>SBFI-PR</t>
  </si>
  <si>
    <t>SBCT-PR</t>
  </si>
  <si>
    <t>SBBV-RR</t>
  </si>
  <si>
    <t>SBCZ-AC</t>
  </si>
  <si>
    <t>SBRB-AC</t>
  </si>
  <si>
    <t>SBMQ-AP</t>
  </si>
  <si>
    <t>SWGN-TO</t>
  </si>
  <si>
    <t>SBPJ-TO</t>
  </si>
  <si>
    <t>SBVH-RO</t>
  </si>
  <si>
    <t>SSKW-RO</t>
  </si>
  <si>
    <t>SBJI-RO</t>
  </si>
  <si>
    <t>SBPV-RO</t>
  </si>
  <si>
    <t>SWBC-AM</t>
  </si>
  <si>
    <t>SWCA-AM</t>
  </si>
  <si>
    <t>SWLB-AM</t>
  </si>
  <si>
    <t>SWEI-AM</t>
  </si>
  <si>
    <t>SBUA-AM</t>
  </si>
  <si>
    <t>SWKO-AM</t>
  </si>
  <si>
    <t>SBTT-AM</t>
  </si>
  <si>
    <t>SWPI-AM</t>
  </si>
  <si>
    <t>SBTF-AM</t>
  </si>
  <si>
    <t>SBUY-AM</t>
  </si>
  <si>
    <t>SBEG-AM</t>
  </si>
  <si>
    <t>SBTB-PA</t>
  </si>
  <si>
    <t>SBIH-PA</t>
  </si>
  <si>
    <t>SBCJ-PA</t>
  </si>
  <si>
    <t>SBHT-PA</t>
  </si>
  <si>
    <t>SBMA-PA</t>
  </si>
  <si>
    <t>SBSN-PA</t>
  </si>
  <si>
    <t>SBBE-PA</t>
  </si>
  <si>
    <t>Total de RPK</t>
  </si>
  <si>
    <t>Variação % do RPK</t>
  </si>
  <si>
    <t>Participação no RPK 2012</t>
  </si>
  <si>
    <t>Variação % do número de passageiros pagos</t>
  </si>
  <si>
    <t>CANADÁ</t>
  </si>
  <si>
    <t>ÁFRICA DO SUL</t>
  </si>
  <si>
    <t>RPK Empresas Brasileiras</t>
  </si>
  <si>
    <t>RPK Empresas Estrangeiras</t>
  </si>
  <si>
    <t>RPK/ASK</t>
  </si>
  <si>
    <t>Cancelamentos</t>
  </si>
  <si>
    <t>Atrasos &gt; 30 min</t>
  </si>
  <si>
    <t>Atrasos &gt; 60 min</t>
  </si>
  <si>
    <t>Varição % no Índice de Cancelamentos</t>
  </si>
  <si>
    <t>Varição % no Índice de Atrasos &gt; 30 min</t>
  </si>
  <si>
    <t>Varição % no Índice de Atrasos &gt; 60 min</t>
  </si>
  <si>
    <t>Preço da Tarifa</t>
  </si>
  <si>
    <t>Figura 2.1</t>
  </si>
  <si>
    <t>Figura 2.2</t>
  </si>
  <si>
    <t>Figura 2.3</t>
  </si>
  <si>
    <t>Figura 2.4</t>
  </si>
  <si>
    <t>Figura 2.5</t>
  </si>
  <si>
    <t>Figura 2.6</t>
  </si>
  <si>
    <t>Figura 3.6</t>
  </si>
  <si>
    <t>Figura 3.7</t>
  </si>
  <si>
    <t>Figura 3.8</t>
  </si>
  <si>
    <t>Figura 3.9</t>
  </si>
  <si>
    <t>Figura 3.10</t>
  </si>
  <si>
    <t>Figura 3.11</t>
  </si>
  <si>
    <t>Figura 3.12</t>
  </si>
  <si>
    <t>Figura 3.13</t>
  </si>
  <si>
    <t>Figura 3.14</t>
  </si>
  <si>
    <t>Figura 3.15</t>
  </si>
  <si>
    <t>Figura 3.16</t>
  </si>
  <si>
    <t>Figura 3.17</t>
  </si>
  <si>
    <t>Figura 3.18</t>
  </si>
  <si>
    <t>Figura 3.19</t>
  </si>
  <si>
    <t>Figura 3.20</t>
  </si>
  <si>
    <t>Figura 3.21</t>
  </si>
  <si>
    <t>Figura 3.22</t>
  </si>
  <si>
    <t>Figura 3.23</t>
  </si>
  <si>
    <t>Figura 3.24</t>
  </si>
  <si>
    <t>Figura 3.25</t>
  </si>
  <si>
    <t>Figura 3.26</t>
  </si>
  <si>
    <t>Figura 3.27</t>
  </si>
  <si>
    <t>Figura 3.28</t>
  </si>
  <si>
    <t>Figura 3.29</t>
  </si>
  <si>
    <t>Figura 3.30</t>
  </si>
  <si>
    <t>Figura 3.31</t>
  </si>
  <si>
    <t>Figura 3.32</t>
  </si>
  <si>
    <t>Figura 3.33</t>
  </si>
  <si>
    <t>Figura 3.34</t>
  </si>
  <si>
    <t>Figura 3.35</t>
  </si>
  <si>
    <t>Figura 3.36</t>
  </si>
  <si>
    <t>Figura 3.37</t>
  </si>
  <si>
    <t>Figura 3.38</t>
  </si>
  <si>
    <t>Figura 3.39</t>
  </si>
  <si>
    <t>Figura 3.40</t>
  </si>
  <si>
    <t>Figura 3.41</t>
  </si>
  <si>
    <t>Figura 3.42</t>
  </si>
  <si>
    <t>Figura 3.43</t>
  </si>
  <si>
    <t>Figura 3.44</t>
  </si>
  <si>
    <t>Figura 3.45</t>
  </si>
  <si>
    <t>Figura 3.46</t>
  </si>
  <si>
    <t>Figura 3.47</t>
  </si>
  <si>
    <t>Figura 4.1</t>
  </si>
  <si>
    <t>Figura 4.2</t>
  </si>
  <si>
    <t>Figura 4.3</t>
  </si>
  <si>
    <t>Figura 4.4</t>
  </si>
  <si>
    <t>Figura 4.5</t>
  </si>
  <si>
    <t>Figura 4.6</t>
  </si>
  <si>
    <t>Figura 4.7</t>
  </si>
  <si>
    <t>Figura 4.8</t>
  </si>
  <si>
    <t>Figura 4.9</t>
  </si>
  <si>
    <t>Figura 4.11</t>
  </si>
  <si>
    <t>Figura 4.12</t>
  </si>
  <si>
    <t>Figura 4.13</t>
  </si>
  <si>
    <t>Figura 4.14</t>
  </si>
  <si>
    <t>Figura 4.56</t>
  </si>
  <si>
    <t>Figura 5.1</t>
  </si>
  <si>
    <t>Figura 5.2</t>
  </si>
  <si>
    <t>Figura 5.3</t>
  </si>
  <si>
    <t>Figura 5.4</t>
  </si>
  <si>
    <t>Figura 5.5</t>
  </si>
  <si>
    <t>Figura 5.6</t>
  </si>
  <si>
    <t>Figura 5.7</t>
  </si>
  <si>
    <t>Figura 5.8</t>
  </si>
  <si>
    <t>Figura 5.9</t>
  </si>
  <si>
    <t>Figura 5.10</t>
  </si>
  <si>
    <t>Figura 5.11</t>
  </si>
  <si>
    <t>Figura 5.12</t>
  </si>
  <si>
    <t>Figura 6.1</t>
  </si>
  <si>
    <t>Figura 6.2</t>
  </si>
  <si>
    <t>Figura 6.3</t>
  </si>
  <si>
    <t>Figura 6.4</t>
  </si>
  <si>
    <t>Figura 6.5</t>
  </si>
  <si>
    <t>Figura 6.6</t>
  </si>
  <si>
    <t>Figura 6.7</t>
  </si>
  <si>
    <t>Figura 6.8</t>
  </si>
  <si>
    <t>Figura 7.1</t>
  </si>
  <si>
    <t>Figura 7.2</t>
  </si>
  <si>
    <t>Figura 7.3</t>
  </si>
  <si>
    <t>Figura 7.4</t>
  </si>
  <si>
    <t>Figura 7.5</t>
  </si>
  <si>
    <t>Figura 8.19</t>
  </si>
  <si>
    <t>Figura 8.20</t>
  </si>
  <si>
    <t>Figura 8.37</t>
  </si>
  <si>
    <t>Figura 8.44</t>
  </si>
  <si>
    <t>Avianca Brasil</t>
  </si>
  <si>
    <t>Boeing</t>
  </si>
  <si>
    <t>CENTRO-OESTE</t>
  </si>
  <si>
    <t>NORDESTE</t>
  </si>
  <si>
    <t>NORTE</t>
  </si>
  <si>
    <t>SUDESTE</t>
  </si>
  <si>
    <t>SUL</t>
  </si>
  <si>
    <t>Variação da quantidade de carga paga transportada</t>
  </si>
  <si>
    <t>Emirates</t>
  </si>
  <si>
    <t>ÁFRICA</t>
  </si>
  <si>
    <t>AMÉRICA CENTRAL</t>
  </si>
  <si>
    <t>ÁSIA</t>
  </si>
  <si>
    <t>AMÉRICA DO SUL</t>
  </si>
  <si>
    <t>EUROPA</t>
  </si>
  <si>
    <t>AMÉRICA DO NORTE</t>
  </si>
  <si>
    <t>LUXEMBURGO</t>
  </si>
  <si>
    <t>RIO</t>
  </si>
  <si>
    <t>INDÚSTRIA</t>
  </si>
  <si>
    <t>Receita de Voo</t>
  </si>
  <si>
    <t>Categoria</t>
  </si>
  <si>
    <t>Variação % da receita de voo</t>
  </si>
  <si>
    <t>Variação % dos Custos e Despesas de Voo (R$)</t>
  </si>
  <si>
    <t>Representatividade dos Custos e Despesas de Voo</t>
  </si>
  <si>
    <t>Custo com Tripulação</t>
  </si>
  <si>
    <t>Custo com Combustíveis</t>
  </si>
  <si>
    <t>Custo com Depreciação de Equipamentos de Voo</t>
  </si>
  <si>
    <t>Custo com Arrendamento, Manutenção e Seguro das Aeronaves</t>
  </si>
  <si>
    <t>Custo com Tarifas Aeroportuárias</t>
  </si>
  <si>
    <t>Custo com Tarifas de Navegação Aérea</t>
  </si>
  <si>
    <t>Custos Indiretos</t>
  </si>
  <si>
    <t>Despesas Administrativas Gerais</t>
  </si>
  <si>
    <t>Outras Despesas Operacionais</t>
  </si>
  <si>
    <t/>
  </si>
  <si>
    <t>Figura 8.5</t>
  </si>
  <si>
    <t>Selecione a Figura ou Tabela desejada:</t>
  </si>
  <si>
    <t>GLO</t>
  </si>
  <si>
    <t>AZU</t>
  </si>
  <si>
    <t>ONE</t>
  </si>
  <si>
    <t>TIB</t>
  </si>
  <si>
    <t>PTN</t>
  </si>
  <si>
    <t>PTB</t>
  </si>
  <si>
    <t>SBUF-BA</t>
  </si>
  <si>
    <t>SNVB-BA</t>
  </si>
  <si>
    <t>Total PA</t>
  </si>
  <si>
    <t>BRASILEIRA</t>
  </si>
  <si>
    <t>ESTRANGEIRA</t>
  </si>
  <si>
    <t>brasileira</t>
  </si>
  <si>
    <t>estrangeira</t>
  </si>
  <si>
    <t>AAL</t>
  </si>
  <si>
    <t>Copa</t>
  </si>
  <si>
    <t>TAP</t>
  </si>
  <si>
    <t>Participação no RPK 2013</t>
  </si>
  <si>
    <t>TUS</t>
  </si>
  <si>
    <t>Brasileira</t>
  </si>
  <si>
    <t>SUÍÇA</t>
  </si>
  <si>
    <t>Variação % no ASK - Gol</t>
  </si>
  <si>
    <t>EQUADOR</t>
  </si>
  <si>
    <t>MAP</t>
  </si>
  <si>
    <t>2013</t>
  </si>
  <si>
    <t>TTL</t>
  </si>
  <si>
    <t>WEB</t>
  </si>
  <si>
    <t>Custos e Despesas de Voo</t>
  </si>
  <si>
    <t>Total Linhas Aéreas</t>
  </si>
  <si>
    <t>SBSG-RN</t>
  </si>
  <si>
    <t>QATAR</t>
  </si>
  <si>
    <t>COREIA DO SUL</t>
  </si>
  <si>
    <t>Tipo de Transporte</t>
  </si>
  <si>
    <t>Figura 2.7</t>
  </si>
  <si>
    <t>Figura 6.9</t>
  </si>
  <si>
    <t>Figura 6.10</t>
  </si>
  <si>
    <t>Figura 6.11</t>
  </si>
  <si>
    <t>Figura 6.12</t>
  </si>
  <si>
    <t>Figura 6.13</t>
  </si>
  <si>
    <t>Figura 6.14</t>
  </si>
  <si>
    <t>Figura 6.15</t>
  </si>
  <si>
    <t>Figura 6.16</t>
  </si>
  <si>
    <t>2014</t>
  </si>
  <si>
    <t>Sideral</t>
  </si>
  <si>
    <t>Abaeté</t>
  </si>
  <si>
    <t>SBPB-PI</t>
  </si>
  <si>
    <t>SNTF-BA</t>
  </si>
  <si>
    <t>SBTG-MS</t>
  </si>
  <si>
    <t>Total Norte</t>
  </si>
  <si>
    <t>Air France</t>
  </si>
  <si>
    <t>Participação no RPK 2014</t>
  </si>
  <si>
    <t>Nenhum (cargueiro)</t>
  </si>
  <si>
    <t>101 a 150</t>
  </si>
  <si>
    <t>151 a 200</t>
  </si>
  <si>
    <t>201 a 250</t>
  </si>
  <si>
    <t>251 a 300</t>
  </si>
  <si>
    <t>Acima de 300</t>
  </si>
  <si>
    <t>UF</t>
  </si>
  <si>
    <t>Outros tripulantes de voo</t>
  </si>
  <si>
    <t>Pessoal de Manutenção e Revisão Geral</t>
  </si>
  <si>
    <t>Pessoal de Tarifação e Vendas</t>
  </si>
  <si>
    <t>Figura 7.16</t>
  </si>
  <si>
    <t>Percentual de Tarifas a menos de R$ 300,00</t>
  </si>
  <si>
    <t>Percentual de Tarifas a menos de R$ 100,00</t>
  </si>
  <si>
    <t>*em bilhões de R$</t>
  </si>
  <si>
    <t>Figura 7.13</t>
  </si>
  <si>
    <t>Figura 7.14</t>
  </si>
  <si>
    <t>Figura 7.17</t>
  </si>
  <si>
    <t>Figura 7.18</t>
  </si>
  <si>
    <t>Figura 7.21</t>
  </si>
  <si>
    <t>Figura 7.22</t>
  </si>
  <si>
    <t>Figura 7.28</t>
  </si>
  <si>
    <t>Figura 7.29</t>
  </si>
  <si>
    <t>Figura 7.31</t>
  </si>
  <si>
    <t>Figura 7.32</t>
  </si>
  <si>
    <t>Percentual</t>
  </si>
  <si>
    <t>Rio Linhas Aéreas</t>
  </si>
  <si>
    <t>Doméstica</t>
  </si>
  <si>
    <t>Decolagens por Mil Hab.</t>
  </si>
  <si>
    <t>SNDV-MG</t>
  </si>
  <si>
    <t>SBJA-SC</t>
  </si>
  <si>
    <t>SBUG-RS</t>
  </si>
  <si>
    <t>Flyways</t>
  </si>
  <si>
    <t>Número de voos</t>
  </si>
  <si>
    <t>Aerolineas Argentinas</t>
  </si>
  <si>
    <t>United Air Lines</t>
  </si>
  <si>
    <t>SBRD-MT</t>
  </si>
  <si>
    <t>Participação no RPK 2015</t>
  </si>
  <si>
    <t>América Do Sul</t>
  </si>
  <si>
    <t>Europa</t>
  </si>
  <si>
    <t>América Do Norte</t>
  </si>
  <si>
    <t>América Central</t>
  </si>
  <si>
    <t>Ásia</t>
  </si>
  <si>
    <t>África</t>
  </si>
  <si>
    <t>Estados Unidos</t>
  </si>
  <si>
    <t>Argentina</t>
  </si>
  <si>
    <t>Portugal</t>
  </si>
  <si>
    <t>Chile</t>
  </si>
  <si>
    <t>Espanha</t>
  </si>
  <si>
    <t>França</t>
  </si>
  <si>
    <t>Panamá</t>
  </si>
  <si>
    <t>Alemanha</t>
  </si>
  <si>
    <t>Peru</t>
  </si>
  <si>
    <t>Uruguai</t>
  </si>
  <si>
    <t>Reino Unido</t>
  </si>
  <si>
    <t>Itália</t>
  </si>
  <si>
    <t>Colômbia</t>
  </si>
  <si>
    <t>Emirados Árabes Unidos</t>
  </si>
  <si>
    <t>Holanda</t>
  </si>
  <si>
    <t>México</t>
  </si>
  <si>
    <t>Paraguai</t>
  </si>
  <si>
    <t>Atlas Air</t>
  </si>
  <si>
    <t>Cargolux</t>
  </si>
  <si>
    <t>Total de Empregados</t>
  </si>
  <si>
    <t>Raio</t>
  </si>
  <si>
    <t>Evolução das despesas e dos custos de voo da indústria – por tipo, 2009 a 2015</t>
  </si>
  <si>
    <t>Decolagens</t>
  </si>
  <si>
    <t>ASK</t>
  </si>
  <si>
    <t>2015</t>
  </si>
  <si>
    <t>Passageiros</t>
  </si>
  <si>
    <t>Bagagem</t>
  </si>
  <si>
    <t>Receitas Auxiliares</t>
  </si>
  <si>
    <t>Penalidades do Contrato de Transporte Aéreo</t>
  </si>
  <si>
    <t>Combustíveis e Lubrificantes</t>
  </si>
  <si>
    <t>Seguros, Arrendamentos e Manutenção de Aeronaves</t>
  </si>
  <si>
    <t>Depreciação/Amortização/Exaustão</t>
  </si>
  <si>
    <t>Tarifas Aeroportuárias</t>
  </si>
  <si>
    <t>Tarifas de Navegação Aérea</t>
  </si>
  <si>
    <t>Despesas Operacionais dos Serviços Aéreos Públicos</t>
  </si>
  <si>
    <t>Custo com Pessoal</t>
  </si>
  <si>
    <t>Assistência a Passageiros e Indenizações Extrajudiciais</t>
  </si>
  <si>
    <t>Condenações Judiciais Decorrentes da Prestação de Serviços Aéreos</t>
  </si>
  <si>
    <t>Comissaria, Handling e Limpeza de aeronaves</t>
  </si>
  <si>
    <t>Tripulação</t>
  </si>
  <si>
    <t>Combustívels</t>
  </si>
  <si>
    <t>Depreciação de Equipamento de Voo</t>
  </si>
  <si>
    <t>Arrendamento, Manutenção e Seguro de Aeronaves</t>
  </si>
  <si>
    <t>Passagens</t>
  </si>
  <si>
    <t>Caixa e Equivalentes de Caixa no Início do Período</t>
  </si>
  <si>
    <t>Caixa e Equivalentes de Caixa no Final do Período</t>
  </si>
  <si>
    <t>Caixa Líquido Gerado/Consumido no Período</t>
  </si>
  <si>
    <t>Outros Custos e Despesas dos Serviços Aéreos Públicos</t>
  </si>
  <si>
    <t>Figura 3.48</t>
  </si>
  <si>
    <t>Figura 3.49</t>
  </si>
  <si>
    <t>SBFE-BA</t>
  </si>
  <si>
    <t>SBLJ-SC</t>
  </si>
  <si>
    <t>SSZW-PR</t>
  </si>
  <si>
    <t>SBBW-MT</t>
  </si>
  <si>
    <t>SBSO-MT</t>
  </si>
  <si>
    <t>Bolívia</t>
  </si>
  <si>
    <t>Participação no RPK 2016</t>
  </si>
  <si>
    <t>Suíça</t>
  </si>
  <si>
    <t>Sterna</t>
  </si>
  <si>
    <t>2016</t>
  </si>
  <si>
    <t>Participação no RPK 2011</t>
  </si>
  <si>
    <t>Latam</t>
  </si>
  <si>
    <t>LTG</t>
  </si>
  <si>
    <t>SID</t>
  </si>
  <si>
    <t>MST</t>
  </si>
  <si>
    <t>XCA</t>
  </si>
  <si>
    <t>STR</t>
  </si>
  <si>
    <t>Carga Paga e Correio Transportados (kg)</t>
  </si>
  <si>
    <t>Crescente</t>
  </si>
  <si>
    <t>Decrescente</t>
  </si>
  <si>
    <t>&gt; 50%</t>
  </si>
  <si>
    <t>Cresente</t>
  </si>
  <si>
    <t>Decresente</t>
  </si>
  <si>
    <t>Ordem Decrescente</t>
  </si>
  <si>
    <t>Evolução das despesas e dos custos de voo da indústria – por tipo, 2009 a 2014</t>
  </si>
  <si>
    <t>Evolução da composição das despesas e dos custos de voo – por tipo, 2009 a 2014</t>
  </si>
  <si>
    <t>Aéreo Interestadual Regular</t>
  </si>
  <si>
    <t xml:space="preserve">*considerando-se os trajetos em ambos os sentidos da rota </t>
  </si>
  <si>
    <t>Todas as Rotas</t>
  </si>
  <si>
    <t>*Passageiros transportados em ambos os sentidos da rota</t>
  </si>
  <si>
    <t>São Paulo - Guarulhos</t>
  </si>
  <si>
    <t>São Paulo - Congonhas</t>
  </si>
  <si>
    <t>Brasília</t>
  </si>
  <si>
    <t>Campinas</t>
  </si>
  <si>
    <t>Belo Horizonte - Confins</t>
  </si>
  <si>
    <t>Rio De Janeiro - Santos Dumont</t>
  </si>
  <si>
    <t>Rio De Janeiro - Galeão</t>
  </si>
  <si>
    <t>Salvador</t>
  </si>
  <si>
    <t>Curitiba</t>
  </si>
  <si>
    <t>Porto Alegre</t>
  </si>
  <si>
    <t>Recife</t>
  </si>
  <si>
    <t>Fortaleza</t>
  </si>
  <si>
    <t>Belém</t>
  </si>
  <si>
    <t>Cuiabá</t>
  </si>
  <si>
    <t>Goiânia</t>
  </si>
  <si>
    <t>Vitória</t>
  </si>
  <si>
    <t>Manaus</t>
  </si>
  <si>
    <t>Florianópolis</t>
  </si>
  <si>
    <t>Natal</t>
  </si>
  <si>
    <t>Variação % no ASK - Latam</t>
  </si>
  <si>
    <t>SBJE-CE</t>
  </si>
  <si>
    <t>SBNM-RS</t>
  </si>
  <si>
    <t>África Do Sul</t>
  </si>
  <si>
    <t>Vôos</t>
  </si>
  <si>
    <t>Voos</t>
  </si>
  <si>
    <t>Var. % do ASK</t>
  </si>
  <si>
    <t>Participação no total de decolagens</t>
  </si>
  <si>
    <t>Foz Do Iguaçu</t>
  </si>
  <si>
    <t>Rio De Janeiro - Santos Dumont / São Paulo - Congonhas</t>
  </si>
  <si>
    <t>Recife / São Paulo - Guarulhos</t>
  </si>
  <si>
    <t>Salvador / São Paulo - Guarulhos</t>
  </si>
  <si>
    <t>Porto Alegre / São Paulo - Guarulhos</t>
  </si>
  <si>
    <t>Brasília / São Paulo - Congonhas</t>
  </si>
  <si>
    <t>Fortaleza / São Paulo - Guarulhos</t>
  </si>
  <si>
    <t>Porto Alegre / São Paulo - Congonhas</t>
  </si>
  <si>
    <t>Belo Horizonte - Confins / São Paulo - Congonhas</t>
  </si>
  <si>
    <t>Belo Horizonte - Confins / São Paulo - Guarulhos</t>
  </si>
  <si>
    <t>Curitiba / São Paulo - Guarulhos</t>
  </si>
  <si>
    <t>Curitiba / São Paulo - Congonhas</t>
  </si>
  <si>
    <t>Florianópolis / São Paulo - Guarulhos</t>
  </si>
  <si>
    <t>Rio De Janeiro - Galeão / São Paulo - Guarulhos</t>
  </si>
  <si>
    <t>Rio De Janeiro - Galeão / Salvador</t>
  </si>
  <si>
    <t>Brasília / Rio De Janeiro - Santos Dumont</t>
  </si>
  <si>
    <t>Brasília / São Paulo - Guarulhos</t>
  </si>
  <si>
    <t>Passageiros Pagos Transportados 2017*</t>
  </si>
  <si>
    <t>Participação no RPK 2017</t>
  </si>
  <si>
    <t>Participação na carga paga e correio transportados</t>
  </si>
  <si>
    <t>2017 (kg)</t>
  </si>
  <si>
    <t>São Paulo - Guarulhos / Manaus</t>
  </si>
  <si>
    <t>Manaus / São Paulo - Guarulhos</t>
  </si>
  <si>
    <t>São Paulo - Guarulhos / Recife</t>
  </si>
  <si>
    <t>São Paulo - Guarulhos / Brasília</t>
  </si>
  <si>
    <t>São Paulo - Guarulhos / Salvador</t>
  </si>
  <si>
    <t>São Paulo - Guarulhos / Fortaleza</t>
  </si>
  <si>
    <t>São Paulo - Guarulhos / Porto Alegre</t>
  </si>
  <si>
    <t>São Paulo - Guarulhos / Rio De Janeiro - Galeão</t>
  </si>
  <si>
    <t>São Paulo - Congonhas / Brasília</t>
  </si>
  <si>
    <t>Brasília / Manaus</t>
  </si>
  <si>
    <t>Brasília / Belém</t>
  </si>
  <si>
    <t>Vitória / São Paulo - Guarulhos</t>
  </si>
  <si>
    <t>Delta Airlines</t>
  </si>
  <si>
    <t>Variação na quantidade de carga e correio transportada</t>
  </si>
  <si>
    <t>Quantidade de Carga e Correio transportados - 2017</t>
  </si>
  <si>
    <t>América Do Norte / Brasil</t>
  </si>
  <si>
    <t>Europa / Brasil</t>
  </si>
  <si>
    <t>América Do Sul / Brasil</t>
  </si>
  <si>
    <t>Ásia / Brasil</t>
  </si>
  <si>
    <t>África / Brasil</t>
  </si>
  <si>
    <t>América Central / Brasil</t>
  </si>
  <si>
    <t>Brasil / América Do Norte</t>
  </si>
  <si>
    <t>Brasil / Europa</t>
  </si>
  <si>
    <t>Brasil / América Do Sul</t>
  </si>
  <si>
    <t>Brasil / Ásia</t>
  </si>
  <si>
    <t>Brasil / África</t>
  </si>
  <si>
    <t>Brasil / América Central</t>
  </si>
  <si>
    <t>Brasil / Estados Unidos</t>
  </si>
  <si>
    <t>Brasil / Portugal</t>
  </si>
  <si>
    <t>Brasil / Alemanha</t>
  </si>
  <si>
    <t>Brasil / Chile</t>
  </si>
  <si>
    <t>Brasil / Argentina</t>
  </si>
  <si>
    <t>Brasil / França</t>
  </si>
  <si>
    <t>Brasil / Colômbia</t>
  </si>
  <si>
    <t>Brasil / Reino Unido</t>
  </si>
  <si>
    <t>Brasil / Espanha</t>
  </si>
  <si>
    <t>Brasil / México</t>
  </si>
  <si>
    <t>Brasil / Holanda</t>
  </si>
  <si>
    <t>Brasil / Suíça</t>
  </si>
  <si>
    <t>Brasil / Equador</t>
  </si>
  <si>
    <t>Brasil / Peru</t>
  </si>
  <si>
    <t>Brasil / Itália</t>
  </si>
  <si>
    <t>Brasil / Luxemburgo</t>
  </si>
  <si>
    <t>Brasil / Canadá</t>
  </si>
  <si>
    <t>Brasil / Emirados Árabes Unidos</t>
  </si>
  <si>
    <t>Brasil / África Do Sul</t>
  </si>
  <si>
    <t>Estados Unidos / Brasil</t>
  </si>
  <si>
    <t>Alemanha / Brasil</t>
  </si>
  <si>
    <t>Chile / Brasil</t>
  </si>
  <si>
    <t>Luxemburgo / Brasil</t>
  </si>
  <si>
    <t>Portugal / Brasil</t>
  </si>
  <si>
    <t>Holanda / Brasil</t>
  </si>
  <si>
    <t>França / Brasil</t>
  </si>
  <si>
    <t>Reino Unido / Brasil</t>
  </si>
  <si>
    <t>Espanha / Brasil</t>
  </si>
  <si>
    <t>Peru / Brasil</t>
  </si>
  <si>
    <t>Colômbia / Brasil</t>
  </si>
  <si>
    <t>Argentina / Brasil</t>
  </si>
  <si>
    <t>Emirados Árabes Unidos / Brasil</t>
  </si>
  <si>
    <t>Suíça / Brasil</t>
  </si>
  <si>
    <t>Itália / Brasil</t>
  </si>
  <si>
    <t>México / Brasil</t>
  </si>
  <si>
    <t>Turquia / Brasil</t>
  </si>
  <si>
    <t>Coréia Do Sul / Brasil</t>
  </si>
  <si>
    <t>Canadá / Brasil</t>
  </si>
  <si>
    <t>África Do Sul / Brasil</t>
  </si>
  <si>
    <t>52 Rotas monitoradas desde o início da série histórica</t>
  </si>
  <si>
    <t>Variação % da Distância Média</t>
  </si>
  <si>
    <t>T1</t>
  </si>
  <si>
    <t>T2</t>
  </si>
  <si>
    <t>T3</t>
  </si>
  <si>
    <t>T4</t>
  </si>
  <si>
    <t>Tarifa Aérea média</t>
  </si>
  <si>
    <t>Variação %</t>
  </si>
  <si>
    <t>Yield Tarifa Aérea médio</t>
  </si>
  <si>
    <t>Var % com relação a 2011</t>
  </si>
  <si>
    <t>2017 (Todas as Rotas)</t>
  </si>
  <si>
    <t>&gt; 0.00 e &lt; 100.00</t>
  </si>
  <si>
    <t>&gt;= 100.00 e &lt; 200.00</t>
  </si>
  <si>
    <t>&gt;= 200.00 e &lt; 300.00</t>
  </si>
  <si>
    <t>&gt;= 300.00 e &lt; 400.00</t>
  </si>
  <si>
    <t>&gt;= 400.00 e &lt; 500.00</t>
  </si>
  <si>
    <t>&gt;= 500.00 e &lt; 600.00</t>
  </si>
  <si>
    <t>&gt;= 600.00 e &lt; 700.00</t>
  </si>
  <si>
    <t>&gt;= 700.00 e &lt; 800.00</t>
  </si>
  <si>
    <t>&gt;= 800.00 e &lt; 900.00</t>
  </si>
  <si>
    <t>&gt;= 900.00 e &lt; 1.000.00</t>
  </si>
  <si>
    <t>&gt;= 1.000.00 e &lt; 1.100.00</t>
  </si>
  <si>
    <t>&gt;= 1.100.00 e &lt; 1.200.00</t>
  </si>
  <si>
    <t>&gt;= 1.200.00 e &lt; 1.300.00</t>
  </si>
  <si>
    <t>&gt;= 1.300.00 e &lt; 1.400.00</t>
  </si>
  <si>
    <t>&gt;= 1.400.00 e &lt; 1.500.00</t>
  </si>
  <si>
    <t>&gt;= 1.500.00</t>
  </si>
  <si>
    <t>Valor do Yield</t>
  </si>
  <si>
    <t>&gt; 0.00 e &lt; 0.10</t>
  </si>
  <si>
    <t>&gt;= 0.10 e &lt; 0.20</t>
  </si>
  <si>
    <t>&gt;= 0.20 e &lt; 0.30</t>
  </si>
  <si>
    <t>&gt;= 0.30 e &lt; 0.40</t>
  </si>
  <si>
    <t>&gt;= 0.40 e &lt; 0.50</t>
  </si>
  <si>
    <t>&gt;= 0.50 e &lt; 0.60</t>
  </si>
  <si>
    <t>&gt;= 0.60 e &lt; 0.70</t>
  </si>
  <si>
    <t>&gt;= 0.70 e &lt; 0.80</t>
  </si>
  <si>
    <t>&gt;= 0.80 e &lt; 0.90</t>
  </si>
  <si>
    <t>&gt;= 0.90 e &lt; 1.00</t>
  </si>
  <si>
    <t>&gt;= 1.00 e &lt;1.10</t>
  </si>
  <si>
    <t>&gt;= 1.10 e &lt; 1.20</t>
  </si>
  <si>
    <t>&gt;= 1.20 e &lt; 1.30</t>
  </si>
  <si>
    <t>&gt;= 1.30 e &lt; 1.40</t>
  </si>
  <si>
    <t>&gt;= 1.40 e &lt; 1.50</t>
  </si>
  <si>
    <t>&gt;= 1.50</t>
  </si>
  <si>
    <t>Percentual de assentos com Yield inferior a R$ 0,30</t>
  </si>
  <si>
    <t>Percentual de assentos com Yield inferior a R$ 0,10</t>
  </si>
  <si>
    <t>Rio De Janeiro - Galeão / Santiago Do Chile</t>
  </si>
  <si>
    <t>População</t>
  </si>
  <si>
    <t>Data</t>
  </si>
  <si>
    <t>1208 - Produto interno bruto em R$ do último ano - R$</t>
  </si>
  <si>
    <t>Brasil</t>
  </si>
  <si>
    <t>PIB</t>
  </si>
  <si>
    <t>Decolagens Domésticas</t>
  </si>
  <si>
    <t>PIBpc</t>
  </si>
  <si>
    <t>Brasil Corrente</t>
  </si>
  <si>
    <t>Brasil Ultimo Ano</t>
  </si>
  <si>
    <t>Embarques</t>
  </si>
  <si>
    <t>ABJ</t>
  </si>
  <si>
    <t>SLX</t>
  </si>
  <si>
    <t>2017</t>
  </si>
  <si>
    <t>Tripulação de Cabine</t>
  </si>
  <si>
    <t>Fabricante</t>
  </si>
  <si>
    <t>Modern</t>
  </si>
  <si>
    <t>Carga Paga e Correio Transportados</t>
  </si>
  <si>
    <t>CO</t>
  </si>
  <si>
    <t>NE</t>
  </si>
  <si>
    <t>N</t>
  </si>
  <si>
    <t>S</t>
  </si>
  <si>
    <t>Lado</t>
  </si>
  <si>
    <t>Área</t>
  </si>
  <si>
    <t>Variação na Quantidade de Carga Paga e Correio</t>
  </si>
  <si>
    <t>Aéreo Interestadual regular</t>
  </si>
  <si>
    <t>Rodoviário interestadual regular</t>
  </si>
  <si>
    <t>Distribuição de empregados por categoria e empresa – empresas aéreas brasileiras, 2017</t>
  </si>
  <si>
    <t>Distribuição de aeronaves por operador e fabricante – empresas aéreas brasileiras, 2017</t>
  </si>
  <si>
    <t>Quantidade de aeronaves por assentos de passageiro instalados em cada empresa aérea brasileira, 2017</t>
  </si>
  <si>
    <t>Figura 5.13</t>
  </si>
  <si>
    <t>Figura 5.14</t>
  </si>
  <si>
    <t>Figura 5.15</t>
  </si>
  <si>
    <t>Figura 5.16</t>
  </si>
  <si>
    <t>Figura 7.6</t>
  </si>
  <si>
    <t>Figura 7.7</t>
  </si>
  <si>
    <t>Figura 7.8</t>
  </si>
  <si>
    <t>Figura 7.9</t>
  </si>
  <si>
    <t>Figura 7.10</t>
  </si>
  <si>
    <t>Figura 7.11</t>
  </si>
  <si>
    <t>Figura 7.12</t>
  </si>
  <si>
    <t>Figura 7.15</t>
  </si>
  <si>
    <t>Figura 7.19</t>
  </si>
  <si>
    <t>Figura 7.20</t>
  </si>
  <si>
    <t>Figura 7.23</t>
  </si>
  <si>
    <t>Figura 7.24</t>
  </si>
  <si>
    <t>Figura 7.25</t>
  </si>
  <si>
    <t>Figura 7.26</t>
  </si>
  <si>
    <t>Figura 7.27</t>
  </si>
  <si>
    <t>Figura 7.33</t>
  </si>
  <si>
    <t>Figura 7.34</t>
  </si>
  <si>
    <t>Figura 7.35</t>
  </si>
  <si>
    <t>Evolução da composição das despesas e dos custos de voo – por tipo, 2016 a 2017</t>
  </si>
  <si>
    <t>Figura 7.30</t>
  </si>
  <si>
    <t>Carga e Mala Postal</t>
  </si>
  <si>
    <t>Receita</t>
  </si>
  <si>
    <t>Distância direta média (km)</t>
  </si>
  <si>
    <t>Variação % nos Voos</t>
  </si>
  <si>
    <t>ES Total</t>
  </si>
  <si>
    <t>SNXB-MG</t>
  </si>
  <si>
    <t>SNNU-MG</t>
  </si>
  <si>
    <t>SNUH-MG</t>
  </si>
  <si>
    <t>SNGX-MG</t>
  </si>
  <si>
    <t>SNPJ-MG</t>
  </si>
  <si>
    <t>SNZR-MG</t>
  </si>
  <si>
    <t>SNAR-MG</t>
  </si>
  <si>
    <t>SNOS-MG</t>
  </si>
  <si>
    <t>SBPC-MG</t>
  </si>
  <si>
    <t>SNUI-MG</t>
  </si>
  <si>
    <t>SNZA-MG</t>
  </si>
  <si>
    <t>SNDT-MG</t>
  </si>
  <si>
    <t>SNVC-MG</t>
  </si>
  <si>
    <t>SNJM-MG</t>
  </si>
  <si>
    <t>SNCT-MG</t>
  </si>
  <si>
    <t>SNTO-MG</t>
  </si>
  <si>
    <t>MG Total</t>
  </si>
  <si>
    <t>RJ Total</t>
  </si>
  <si>
    <t>SBGP-SP</t>
  </si>
  <si>
    <t>SNBA-SP</t>
  </si>
  <si>
    <t>SP Total</t>
  </si>
  <si>
    <t>Total Região Sudeste</t>
  </si>
  <si>
    <t>SE Total</t>
  </si>
  <si>
    <t>PI Total</t>
  </si>
  <si>
    <t>PB Total</t>
  </si>
  <si>
    <t>AL Total</t>
  </si>
  <si>
    <t>MA Total</t>
  </si>
  <si>
    <t>SBMS-RN</t>
  </si>
  <si>
    <t>RN Total</t>
  </si>
  <si>
    <t>CE Total</t>
  </si>
  <si>
    <t>SNHS-PE</t>
  </si>
  <si>
    <t>PE Total</t>
  </si>
  <si>
    <t>BA Total</t>
  </si>
  <si>
    <t>Total Região Nordeste</t>
  </si>
  <si>
    <t>SC Total</t>
  </si>
  <si>
    <t>RS Total</t>
  </si>
  <si>
    <t>PR Total</t>
  </si>
  <si>
    <t>Total Região Sul</t>
  </si>
  <si>
    <t>SSBH-MS</t>
  </si>
  <si>
    <t>MS Total</t>
  </si>
  <si>
    <t>MT Total</t>
  </si>
  <si>
    <t>GO Total</t>
  </si>
  <si>
    <t>DF Total</t>
  </si>
  <si>
    <t>Total Região Centro-Oeste</t>
  </si>
  <si>
    <t>RR Total</t>
  </si>
  <si>
    <t>AC Total</t>
  </si>
  <si>
    <t>AP Total</t>
  </si>
  <si>
    <t>TO Total</t>
  </si>
  <si>
    <t>RO Total</t>
  </si>
  <si>
    <t>SBMN-AM</t>
  </si>
  <si>
    <t>AM Total</t>
  </si>
  <si>
    <t>PA Total</t>
  </si>
  <si>
    <t>Total Região Norte</t>
  </si>
  <si>
    <t>Var. na Carga Paga e Correio Transportados (kg)</t>
  </si>
  <si>
    <t>Two</t>
  </si>
  <si>
    <t>Variação no RPK/ASK</t>
  </si>
  <si>
    <t>Trimestre</t>
  </si>
  <si>
    <t>2018 (Todas as Rotas)</t>
  </si>
  <si>
    <t>2018 (Rotas monitoradas desde o início da série histórica)</t>
  </si>
  <si>
    <t>2009 (Rotas monitoradas desde o início da série histórica)</t>
  </si>
  <si>
    <t>Var % com relação a 2017</t>
  </si>
  <si>
    <t>Variação com relação a 2017</t>
  </si>
  <si>
    <t>Variação no ASK</t>
  </si>
  <si>
    <t>Equador</t>
  </si>
  <si>
    <t>Variação % na Carga Paga e Correio Transportados</t>
  </si>
  <si>
    <t>Quantidade de Passageiros Pagos</t>
  </si>
  <si>
    <t>Participação no total de Passageiros Pagos</t>
  </si>
  <si>
    <t>Rota</t>
  </si>
  <si>
    <t>Passageiros Pagos Transportados 2018*</t>
  </si>
  <si>
    <t>Salvador / São Paulo - Congonhas</t>
  </si>
  <si>
    <t>Natal / São Paulo - Guarulhos</t>
  </si>
  <si>
    <t>Belo Horizonte - Confins / Brasília</t>
  </si>
  <si>
    <t>Goiânia / São Paulo - Guarulhos</t>
  </si>
  <si>
    <t>Participação no RPK 2018</t>
  </si>
  <si>
    <t>2018 (kg)</t>
  </si>
  <si>
    <t>São Paulo - Guarulhos / Belo Horizonte - Confins</t>
  </si>
  <si>
    <t>Canadá</t>
  </si>
  <si>
    <t>RPK</t>
  </si>
  <si>
    <t>Korean Air</t>
  </si>
  <si>
    <t>Quantidade de Carga e Correio transportados - 2018</t>
  </si>
  <si>
    <t>Brasil / Qatar</t>
  </si>
  <si>
    <t>Lan Chile</t>
  </si>
  <si>
    <t>Variação na quantidade de passageiros pagos</t>
  </si>
  <si>
    <t>Campinas / Manaus</t>
  </si>
  <si>
    <t>Maceió / São Paulo - Guarulhos</t>
  </si>
  <si>
    <t>Santiago Do Chile / São Paulo - Guarulhos</t>
  </si>
  <si>
    <t>Miami / São Paulo - Guarulhos</t>
  </si>
  <si>
    <t>Buenos Aires/Aeroparque / São Paulo - Guarulhos</t>
  </si>
  <si>
    <t>Buenos Aires / São Paulo - Guarulhos</t>
  </si>
  <si>
    <t>New York / São Paulo - Guarulhos</t>
  </si>
  <si>
    <t>Madrid / São Paulo - Guarulhos</t>
  </si>
  <si>
    <t>Buenos Aires / Rio De Janeiro - Galeão</t>
  </si>
  <si>
    <t>Paris / São Paulo - Guarulhos</t>
  </si>
  <si>
    <t>Panama / São Paulo - Guarulhos</t>
  </si>
  <si>
    <t>Bogota / São Paulo - Guarulhos</t>
  </si>
  <si>
    <t>Frankfurt / São Paulo - Guarulhos</t>
  </si>
  <si>
    <t>Lima / São Paulo - Guarulhos</t>
  </si>
  <si>
    <t>Londres / São Paulo - Guarulhos</t>
  </si>
  <si>
    <t>Lisboa / São Paulo - Guarulhos</t>
  </si>
  <si>
    <t>Montevideu / São Paulo - Guarulhos</t>
  </si>
  <si>
    <t>Roma / São Paulo - Guarulhos</t>
  </si>
  <si>
    <t>Orlando / São Paulo - Guarulhos</t>
  </si>
  <si>
    <t>Mexico / São Paulo - Guarulhos</t>
  </si>
  <si>
    <t>Assuncao / São Paulo - Guarulhos</t>
  </si>
  <si>
    <t>-</t>
  </si>
  <si>
    <t>EMBRAER</t>
  </si>
  <si>
    <t>Total de Aeronaves</t>
  </si>
  <si>
    <t>CESSNA</t>
  </si>
  <si>
    <t>Demais Empresas</t>
  </si>
  <si>
    <t>Figura 3.1</t>
  </si>
  <si>
    <t>Doméstico</t>
  </si>
  <si>
    <t>Figura 3.2</t>
  </si>
  <si>
    <t>Figura 3.3</t>
  </si>
  <si>
    <t>2018</t>
  </si>
  <si>
    <t>Miami / Rio De Janeiro - Galeão</t>
  </si>
  <si>
    <t>EMPRESA (SIGLA)</t>
  </si>
  <si>
    <t>ANO</t>
  </si>
  <si>
    <t>Soma de ATK</t>
  </si>
  <si>
    <t>Receita de Passagem Aérea (R$ 1.000,00) por empresa, 2014 a 2017</t>
  </si>
  <si>
    <t>RASK PASSAGEM</t>
  </si>
  <si>
    <t>CASK</t>
  </si>
  <si>
    <t>Embraer</t>
  </si>
  <si>
    <t>Figura 1.1: Quantidade de empregados por categoria – empresas aéreas brasileiras, 2013 a 2018</t>
  </si>
  <si>
    <t>Figura 1.2: Proporção de empregados por categoria – empresas aéreas brasileiras, 2018</t>
  </si>
  <si>
    <t>Figura 1.3: Quantidade de empregados por aeronave – empresas aéreas brasileiras, 2016 a 2018</t>
  </si>
  <si>
    <t>Figura 1.4: Proporção de pilotos e co-pilotos no total de empregados – empresas aéreas brasileiras, 2016 a 2018</t>
  </si>
  <si>
    <t>Figura 1.5: Número de pilotos e co-pilotos por mil decolagens – empresas aéreas brasileiras, 2016 a 2018</t>
  </si>
  <si>
    <t>Figura 1.6: Quantidade de aeronaves por fabricante – empresas aéreas brasileiras, 2014 a 2018</t>
  </si>
  <si>
    <t>Figura 1.7: Proporção de aeronaves por assentos de passageiro instalados – empresas aéreas brasileiras, 2018</t>
  </si>
  <si>
    <t>Figura 2.1: Evolução da quantidade de voos – mercados doméstico e internacional, 2009 a 2018</t>
  </si>
  <si>
    <t>Figura 2.2: Variação na quantidade de voos com relação ao ano anterior – mercados doméstico e internacional, 2009 a 2018</t>
  </si>
  <si>
    <t>Figura 2.3: Variação na quantidade de voos com relação ao mesmo mês do ano anterior – mercados doméstico e internacional, 2018</t>
  </si>
  <si>
    <t>Figura 2.4: Evolução da quantidade de voos – mercado doméstico, 2009 a 2018</t>
  </si>
  <si>
    <t>Figura 2.5: Variação na quantidade de voos com relação ao ano anterior – mercado doméstico, 2009 a 2018</t>
  </si>
  <si>
    <t>Figura 2.6: Variação na quantidade de voos com relação ao mesmo mês do ano anterior – mercado doméstico, 2018</t>
  </si>
  <si>
    <t>Figura 2.7: Participação das quatro principais empresas no número de voos – mercado doméstico, 2018</t>
  </si>
  <si>
    <t>Figura 2.8: Variação na quantidade de voos com relação ao ano anterior por empresa – mercado doméstico, 2018</t>
  </si>
  <si>
    <t>Figura 2.9: Participação dos 20 principais aeroportos na quantidade de decolagens – mercado doméstico, 2018</t>
  </si>
  <si>
    <t>Figura 2.10: Variação da quantidade de decolagens nos 20 principais aeroportos com relação ao ano anterior – mercado doméstico, 2018</t>
  </si>
  <si>
    <t>Figura 2.11: Quantidade de decolagens por região (milhares) – mercado doméstico, 2018</t>
  </si>
  <si>
    <t>Figura 2.12: Quantidade de decolagens por mil de habitantes por região – mercado doméstico, 2018</t>
  </si>
  <si>
    <t>Figura 2.13: Variação no número de decolagens por região com relação ao ano anterior – mercado doméstico, 2018</t>
  </si>
  <si>
    <t>Figura 2.14: Evolução do ASK – mercado doméstico, 2009 a 2018</t>
  </si>
  <si>
    <t>Figura 2.15: Variação do ASK em relação ao ano anterior – mercado doméstico, 2009 a 2018</t>
  </si>
  <si>
    <t>Figura 2.16: Variação no ASK com relação ao mesmo mês do ano anterior – mercado doméstico, 2018</t>
  </si>
  <si>
    <t>Figura 2.17: Participação das quatro maiores empresas no ASK – mercado doméstico, 2018</t>
  </si>
  <si>
    <t>Figura 2.18: Variação do ASK com relação ao ano anterior por empresa – mercado doméstico, 2018</t>
  </si>
  <si>
    <t>Figura 2.19: Variação no ASK com relação ao mesmo mês do ano anterior – Latam e Gol – mercado doméstico, 2018</t>
  </si>
  <si>
    <t>Figura 2.20: Variação no ASK com relação ao mesmo mês do ano anterior – Azul, Avianca – mercado doméstico, 2018</t>
  </si>
  <si>
    <t>Figura 2.21: Quantidade de aeroportos utilizados para voos domésticos regulares e não regulares por unidade da federação, 2018</t>
  </si>
  <si>
    <t>Figura 2.22: Decolagens por estado e aeroporto – região Sudeste, 2018</t>
  </si>
  <si>
    <t>Figura 2.23: Decolagens por estado e aeroporto – região Nordeste, 2018</t>
  </si>
  <si>
    <t>Figura 2.24: Decolagens por estado e aeroporto – região Sul, 2018</t>
  </si>
  <si>
    <t>Figura 2.25: Decolagens por estado e aeroporto – região Centro-Oeste, 2018</t>
  </si>
  <si>
    <t>Figura 2.26: Decolagens por estado e aeroporto – região Norte, 2018</t>
  </si>
  <si>
    <t>Figura 2.27: Aeroportos utilizados por empresa – mercado doméstico, 2017 e 2018</t>
  </si>
  <si>
    <t>Figura 2.28: Evolução do número de voos realizados – mercado internacional, 2009 a 2018</t>
  </si>
  <si>
    <t>Figura 2.29: Variação no número de voos realizados em relação ao ano anterior – mercado internacional, 2009 a 2018</t>
  </si>
  <si>
    <t>Figura 2.30: Variação no número de voos realizados em relação ao mesmo mês do ano anterior – mercado internacional, 2018</t>
  </si>
  <si>
    <t>Figura 2.31: Evolução do número de voos realizados por nacionalidade da empresa – mercado internacional, 2009 a 2018</t>
  </si>
  <si>
    <t>Figura 2.32: Proporção de voos realizados por nacionalidade da empresa – mercado internacional, 2009 a 2018</t>
  </si>
  <si>
    <t>Figura 2.33: Variação do número de voos realizados por nacionalidade da empresa – mercado internacional, 2018/2009</t>
  </si>
  <si>
    <t>Figura 2.34: Variação do número de voos realizados por nacionalidade da empresa – mercado internacional, 2018/2017</t>
  </si>
  <si>
    <t>Figura 2.35: Participação de mercado das maiores empresas em termos de voos realizados – mercado internacional, 2018</t>
  </si>
  <si>
    <t>Figura 2.36: Variação na quantidade de voos realizados pelas maiores empresas – mercado internacional, 2018/2017</t>
  </si>
  <si>
    <t>Figura 2.37: Quantidade de voos entre Brasil e outros países, por continente, 2017 e 2018</t>
  </si>
  <si>
    <t>Figura 2.38: Quantidade de voos realizados entre o Brasil e os 20 principais destinos internacionais, 2017 e 2018</t>
  </si>
  <si>
    <t>Figura 2.39: Evolução do ASK – mercado internacional, 2009 a 2018</t>
  </si>
  <si>
    <t>Figura 2.40: Variação no ASK em relação ao ano anterior – mercado internacional, 2009 a 2018</t>
  </si>
  <si>
    <t>Figura 2.41: Evolução do ASK por nacionalidade das empresas – mercado internacional, 2009 a 2018</t>
  </si>
  <si>
    <t>Figura 2.42: Variação do ASK por nacionalidade da empresa – mercado internacional, 2018/2009</t>
  </si>
  <si>
    <t>Figura 2.43: Variação do ASK por nacionalidade da empresa – mercado internacional, 2018/2017</t>
  </si>
  <si>
    <t>Figura 2.44: Participação de mercado das maiores empresas em termos de ASK – mercado internacional, 2018</t>
  </si>
  <si>
    <t>Figura 2.45: Variação do ASK das maiores empresas – mercado internacional, 2018/2017</t>
  </si>
  <si>
    <t>Figura 3.1: Evolução da quantidade de passageiros pagos transportados – mercados doméstico e internacional, 2009 a 2018</t>
  </si>
  <si>
    <t>Figura 3.2: Variação da quantidade de passageiros pagos transportados – mercados doméstico e internacional, 2009 a 2018</t>
  </si>
  <si>
    <t>Figura 3.3: Evolução do RPK – mercados doméstico e internacional, 2009 a 2018</t>
  </si>
  <si>
    <t>Figura 3.4: Variação do RPK – mercados doméstico e internacional, 2009 a 2018</t>
  </si>
  <si>
    <t>Figura 3.5: Evolução da quantidade de carga paga e correio transportados – mercados doméstico e internacional, 2009 a 2018</t>
  </si>
  <si>
    <t>Figura 3.6: Variação da quantidade de carga paga e correio transportados – mercados doméstico e internacional, 2009 a 2018</t>
  </si>
  <si>
    <t>Figura 3.7: Evolução do número de passageiros pagos transportados – mercado doméstico, 2009 a 2018</t>
  </si>
  <si>
    <t>Figura 3.8: Variação nos passageiros pagos transportados em relação ao ano anterior – mercado doméstico, 2009 a 2018</t>
  </si>
  <si>
    <t>Figura 3.9: Variação nos passageiros pagos transportados com relação ao mesmo mês do ano anterior – mercado doméstico, 2018</t>
  </si>
  <si>
    <t>Figura 3.10: Participação das quatro maiores empresas em passageiros pagos transportados – mercado doméstico, 2018</t>
  </si>
  <si>
    <t>Figura 3.11: Variação de passageiros pagos transportados com relação ao ano anterior por empresa – mercado doméstico, 2018</t>
  </si>
  <si>
    <t>Figura 3.12: Variação no número de passageiros pagos transportados (milhões de passageiros) – mercado doméstico, 2018</t>
  </si>
  <si>
    <t>Figura 3.13: Passageiros pagos embarcados por região brasileira, em milhões – mercado doméstico, 2018</t>
  </si>
  <si>
    <t>Figura 3.14: Distribuição dos passageiros embarcados por região – mercado doméstico, 2018</t>
  </si>
  <si>
    <t>Figura 3.15: Passageiros embarcados por aeroporto e unidade da federação – região Sudeste – mercado doméstico, 2018</t>
  </si>
  <si>
    <t>Figura 3.16: Passageiros embarcados por aeroporto e unidade da federação – região Nordeste – mercado doméstico, 2018</t>
  </si>
  <si>
    <t>Figura 3.17: Passageiros embarcados por aeroporto e unidade da federação – região Centro-Oeste – mercado doméstico, 2018</t>
  </si>
  <si>
    <t>Figura 3.18: Passageiros embarcados por aeroporto e unidade da federação – Região Sul – mercado doméstico, 2018</t>
  </si>
  <si>
    <t>Figura 3.19: Passageiros embarcados por aeroporto e unidade da federação – região Norte – mercado doméstico, 2018</t>
  </si>
  <si>
    <t>Figura 3.20: Distribuição dos embarques nos 20 maiores aeroportos – mercado doméstico, 2018</t>
  </si>
  <si>
    <t>Figura 3.21: Variação no número de embarques em relação ao ano anterior por aeroporto – mercado doméstico, 2018</t>
  </si>
  <si>
    <t>Figura 3.22: Passageiros pagos transportados nas 20 principais rotas* – mercado doméstico, 2017 e 2018</t>
  </si>
  <si>
    <t>Figura 3.23: Evolução do RPK – mercado doméstico, 2009 a 2018</t>
  </si>
  <si>
    <t>Figura 3.24: Variação do RPK em relação ao ano anterior – mercado doméstico, 2009 a 2018</t>
  </si>
  <si>
    <t>Figura 3.25: Variação do RPK em relação ao mesmo mês do ano anterior – mercado doméstico, 2018</t>
  </si>
  <si>
    <t>Figura 3.26: Participação das cinco maiores empresas no RPK – mercado doméstico, 2010 a 2018</t>
  </si>
  <si>
    <t>Figura 3.27: Variação no RPK com relação ao ano anterior por empresa – mercado doméstico, 2018</t>
  </si>
  <si>
    <t>Figura 3.28: Evolução da quantidade de carga paga e correio transportados – mercado doméstico, 2009 a 2018</t>
  </si>
  <si>
    <t>Figura 3.29: Variação anual da quantidade de carga paga e correio transportados – mercado doméstico, 2009 a 2018</t>
  </si>
  <si>
    <t>Figura 3.30: Participação das principais empresas em termos de carga paga e correio transportados – mercado doméstico, 2018</t>
  </si>
  <si>
    <t>Figura 3.31: Variação da carga paga e correio transportados com relação ao ano anterior por empresa – mercado doméstico, 2018</t>
  </si>
  <si>
    <t>Figura 3.32: Carga paga e correio transportados nas 20 principais rotas – mercado doméstico, 2017 e 2018</t>
  </si>
  <si>
    <t>Figura 3.33: Carga e correio despachados por unidade da federação – mercado doméstico, 2018</t>
  </si>
  <si>
    <t>Figura 3.34: Evolução do número de passageiros pagos transportados – mercado internacional, 2009 a 2018</t>
  </si>
  <si>
    <t>Figura 3.35: Variação no número de passageiros pagos transportados em relação ao ano anterior – mercado internacional, 2009 a 2018</t>
  </si>
  <si>
    <t>Figura 3.36: Variação nos passageiros pagos transportados com relação ao mesmo mês do ano anterior – mercado internacional, 2018</t>
  </si>
  <si>
    <t>Figura 3.37: Evolução do número de passageiros pagos transportados por nacionalidade da empresa – mercado internacional, 2009 a 2018</t>
  </si>
  <si>
    <t>Figura 3.38: Variação do número de passageiros pagos transportados por nacionalidade da empresa – mercado internacional, 2018/2009</t>
  </si>
  <si>
    <t>Figura 3.39: Variação do número de passageiros pagos transportados por nacionalidade da empresa – mercado internacional, 2018/2017</t>
  </si>
  <si>
    <t>Figura 3.40: Participação de mercado das maiores empresas em termos de passageiros pagos transportados – mercado internacional, 2018</t>
  </si>
  <si>
    <t>Figura 3.41: Variação na quantidade de passageiros pagos transportados pelas maiores empresas – mercado internacional, 2018/2017</t>
  </si>
  <si>
    <t>Figura 3.42: Quantidade de passageiros transportados entre o Brasil e outros países por continente, 2017 e 2018</t>
  </si>
  <si>
    <t>Figura 3.43: Quantidade de passageiros transportados entre o Brasil e os 20 principais destinos internacionais, 2017 e 2018</t>
  </si>
  <si>
    <t>Figura 3.44: Evolução do RPK – mercado internacional, 2009 a 2018</t>
  </si>
  <si>
    <t>Figura 3.45: Variação no RPK em relação ao ano anterior – mercado internacional, 2009 a 2018</t>
  </si>
  <si>
    <t>Figura 3.46: Evolução do RPK por nacionalidade das empresas – mercado internacional – 2009 a 2018</t>
  </si>
  <si>
    <t>Figura 3.47: Variação do RPK por nacionalidade da empresa – mercado internacional, 2018/2009</t>
  </si>
  <si>
    <t>Figura 3.48: Variação do RPK por nacionalidade da empresa – mercado internacional, 2018/2017</t>
  </si>
  <si>
    <t>Figura 3.49: Participação de mercado das maiores empresas em termos de RPK – mercado internacional, 2018</t>
  </si>
  <si>
    <t>Figura 3.50: Variação do RPK das maiores empresas – mercado internacional, 2018/2017</t>
  </si>
  <si>
    <t>Figura 3.51: Evolução da quantidade de carga paga e correio transportados – mercado internacional, 2009 a 2018</t>
  </si>
  <si>
    <t>Figura 3.52: Evolução da quantidade de carga paga e correio transportados por nacionalidade das empresas – mercado internacional, 2009 a 2018</t>
  </si>
  <si>
    <t>Figura 3.53: Variação na quantidade de carga paga e correio transportados – mercado internacional, 2018/2009</t>
  </si>
  <si>
    <t>Figura 3.54: Variação na quantidade de carga paga e correio transportados – mercado internacional, 2018/2017</t>
  </si>
  <si>
    <t>Figura 3.55: Participação das principais empresas na quantidade de carga paga e correio transportados – mercado internacional, 2018</t>
  </si>
  <si>
    <t>Figura 3.56: Variação da quantidade de carga paga e correio transportados pelas principais empresas – mercado internacional, 2018/2017</t>
  </si>
  <si>
    <t>Figura 3.57: Quantidade de carga paga e correio transportados entre Brasil e demais países por continente – mercado internacional, 2018</t>
  </si>
  <si>
    <t>Figura 3.58: Quantidade de carga paga e correio transportados nas 20 principais rotas internacionais com origem no Brasil, 2018</t>
  </si>
  <si>
    <t>Figura 3.59: Quantidade de carga paga e correio transportados nas 20 principais rotas internacionais com destino no Brasil, 2018</t>
  </si>
  <si>
    <t>Figura 3.60: Evolução da quantidade de passageiros interestaduais transportados pelos modais aéreo e rodoviário, 2009 a 2018</t>
  </si>
  <si>
    <t>Figura 3.61: Participação dos modais aéreo e rodoviário no transporte interestadual de passageiros, 2018</t>
  </si>
  <si>
    <t>Figura 3.62: Participação dos modais aéreo e rodoviário no transporte interestadual de, 2009 e 2017</t>
  </si>
  <si>
    <t>Figura 4.1: Evolução do aproveitamento em termos de RPK/ASK – mercados doméstico e internacional, 2009 a 2018</t>
  </si>
  <si>
    <t>Figura 4.2: Variação do aproveitamento RPK/ASK com relação ao ano anterior – mercados doméstico e internacional, 2009 a 2018</t>
  </si>
  <si>
    <t>Figura 4.3: Aproveitamento RPK/ASK mensal – mercados doméstico e internacional, 2018</t>
  </si>
  <si>
    <t>Figura 4.4: Variação do aproveitamento RPK/ASK com relação ao mesmo mês do ano anterior – mercados doméstico e internacional, 2018</t>
  </si>
  <si>
    <t>Figura 4.5: Aproveitamento em termos de Horas Voadas por Aeronave-Dia Disponível por empresa – mercados doméstico e internacional, 2017 (esquerda) e 2018 (direita)</t>
  </si>
  <si>
    <t>Figura 4.6: Aproveitamento em termos de Horas Voadas por Aeronave-Dia Disponível por configuração da aeronave – empresas brasileiras, 2017 e 2018</t>
  </si>
  <si>
    <t>Figura 4.7: Evolução do aproveitamento em termos de RPK/ASK – mercado doméstico, 2009 a 2018</t>
  </si>
  <si>
    <t>Figura 4.8: Variação do aproveitamento RPK/ASK com relação ao ano anterior – mercado doméstico, 2009 a 2018</t>
  </si>
  <si>
    <t>Figura 4.9: Aproveitamento RPK/ASK mensal – mercado doméstico, 2018</t>
  </si>
  <si>
    <t>Figura 4.10: Variação do aproveitamento RPK/ASK com relação ao mesmo mês do ano anterior – mercado doméstico, 2018</t>
  </si>
  <si>
    <t>Figura 4.11: Aproveitamento em termos de RPK/ASK, por empresa – mercado doméstico, 2017 (esquerda) e 2018 (direita)</t>
  </si>
  <si>
    <t>Figura 4.12: Evolução do aproveitamento em termos de RPK/ASK – mercado internacional, 2009 a 2018</t>
  </si>
  <si>
    <t>Figura 4.13: Variação do aproveitamento RPK/ASK – mercado internacional, 2018</t>
  </si>
  <si>
    <t>Figura 4.14: Aproveitamento RPK/ASK mensal – mercado internacional, 2018</t>
  </si>
  <si>
    <t>Figura 4.15: Variação do aproveitamento RPK/ASK com relação ao mesmo mês do ano anterior – mercado internacional, 2018</t>
  </si>
  <si>
    <t>Figura 4.16: Aproveitamento em termos de RPK/ASK, por empresa – mercado internacional, 2017 (esquerda) e 2018 (direita)</t>
  </si>
  <si>
    <t>Figura 5.1: Evolução dos Percentuais de Atrasos e Cancelamentos – indústria, por ano, 2009 a 2018</t>
  </si>
  <si>
    <t>Figura 5.2: Variação dos Percentuais de Atrasos e Cancelamentos com relação ao ano anterior – indústria, 2009 a 2018</t>
  </si>
  <si>
    <t>Figura 5.3: Evolução dos Percentuais de Atrasos e Cancelamentos – indústria, por mês, 2018</t>
  </si>
  <si>
    <t>Figura 5.4: Variação dos Percentuais de Atrasos e Cancelamentos com relação ao mesmo mês do ano anterior, – indústria, 2018</t>
  </si>
  <si>
    <t>Figura 5.5: Evolução dos Percentuais de Atrasos e Cancelamentos – mercado doméstico, por ano, 2009 a 2018</t>
  </si>
  <si>
    <t>Figura 5.6: Variação dos Percentuais de Atrasos e Cancelamentos com relação ao ano anterior – mercado doméstico, 2009 a 2018</t>
  </si>
  <si>
    <t>Figura 5.7: Percentuais mensais de Atrasos e Cancelamentos – mercado doméstico, 2018</t>
  </si>
  <si>
    <t>Figura 5.8: Variação dos Percentuais de Atrasos e Cancelamentos com relação ao mesmo mês do ano anterior – mercado doméstico, 2018</t>
  </si>
  <si>
    <t>Figura 5.9: Evolução dos Percentuais de Atrasos e Cancelamentos – mercado internacional, por ano, 2009 a 2018</t>
  </si>
  <si>
    <t>Figura 5.10: Variação dos Percentuais de Atrasos e Cancelamentos com relação ao ano anterior – mercado internacional, 2009 a 2018</t>
  </si>
  <si>
    <t>Figura 5.11: Evolução dos Percentuais de Atrasos e Cancelamentos – indústria, por mês, 2018</t>
  </si>
  <si>
    <t>Figura 5.12: Variação dos Percentuais de Atrasos e Cancelamentos com relação ao mesmo mês do ano anterior, – indústria, 2018</t>
  </si>
  <si>
    <t>Figura 5.13: Percentuais de Atrasos nas 20 principais rotas domésticas, 2018</t>
  </si>
  <si>
    <t>Figura 5.14: Percentuais de Cancelamentos nas 20 principais rotas domésticas, 2018</t>
  </si>
  <si>
    <t>Figura 5.15: Percentuais de Atrasos nas 20 principais rotas internacionais, 2018</t>
  </si>
  <si>
    <t>Figura 5.16: Percentuais de Cancelamentos nas 20 principais rotas internacionais, 2018</t>
  </si>
  <si>
    <t>Figura 6.1: Evolução da Tarifa Aérea Média Doméstica Real, 2009 a 2018</t>
  </si>
  <si>
    <t>Figura 6.2: Variação da Tarifa Aérea Média Doméstica Real com relação ao ano anterior, 2009 a 2018</t>
  </si>
  <si>
    <t>Figura 6.3: Tarifa Aérea Média Doméstica Real mensal, 2016 a 2018</t>
  </si>
  <si>
    <t>Figura 6.4: Variação Tarifa Aérea Média Doméstica Real com relação ao mesmo mês no ano anterior, 2016 a 2018</t>
  </si>
  <si>
    <t>Figura 6.5: Tarifa Aérea Doméstica Real Trimestral, 2016 a 2018</t>
  </si>
  <si>
    <t>Figura 6.6: Variação da Tarifa Aérea Doméstica Real Trimestral com relação ao mesmo trimestre do ano anterior, 2016 a 2018</t>
  </si>
  <si>
    <t>Figura 6.7: Distribuição percentual de assentos comercializados por intervalo de Tarifa Aérea Doméstica Real, 2009 e 2018</t>
  </si>
  <si>
    <t>Figura 6.8: Evolução da distância direta média, 2009 a 2018</t>
  </si>
  <si>
    <t>Figura 6.9: Evolução Do Yield Tarifa Aérea Médio Doméstico Real, 2009 a 2018</t>
  </si>
  <si>
    <t>Figura 6.10: Variação do Yield Tarifa Aérea Médio Doméstica Real com relação ao ano anterior, 2009 a 2018</t>
  </si>
  <si>
    <t>Figura 6.11: Yield Tarifa Aérea Médio Doméstico Real mensal, 2016 a 2018</t>
  </si>
  <si>
    <t>Figura 6.12: Variação do Yield Tarifa Aérea Médio Doméstico Real com relação ao mesmo mês do ano anterior, 2016 a 2018</t>
  </si>
  <si>
    <t>Figura 6.13: Yield Tarifa Aérea Doméstica Real médio trimestral, 2016 a 2018</t>
  </si>
  <si>
    <t>Figura 6.14: Variação do Yield Tarifa Aérea Doméstico Real com relação ao mesmo trimestre do ano anterior, 2016 a 2018</t>
  </si>
  <si>
    <t>Figura 6.15: Distribuição percentual de assentos comercializados por intervalo de Yield Tarifa Aérea Doméstico Real, 2009 e 2018</t>
  </si>
  <si>
    <t>Figura 6.16: Evolução da Tarifa Aérea Média Doméstica Real por empresa, 2015 a 2018</t>
  </si>
  <si>
    <t>Figura 6.17: Variação da Tarifa Aérea Média Doméstica Real por empresa, 2015 a 2018</t>
  </si>
  <si>
    <t>Figura 6.18: Tarifa Aérea Média Doméstica Real média trimestral por empresa, 2015 a 2018</t>
  </si>
  <si>
    <t>Figura 6.19: Variação da Tarifa Aérea Média Doméstica Real com relação ao mesmo trimestre do ano anterior por empresa, 2015 a 2018</t>
  </si>
  <si>
    <t>Figura 6.20: Evolução do Yield Tarifa Aérea Médio Doméstico Real por empresa, 2015 a 2018</t>
  </si>
  <si>
    <t>Figura 6.21: Variação do Yield Tarifa Aérea Médio Doméstico Real por empresa, 2015 a 2018</t>
  </si>
  <si>
    <t>Figura 6.22: Yield Tarifa Aérea Médio Doméstico Real trimestral por empresa, 2015 a 2018</t>
  </si>
  <si>
    <t>Figura 6.23: Yield Tarifa Aérea Médio Doméstico Real com relação ao mesmo trimestre do ano anterior por empresa, 2015 a 2018</t>
  </si>
  <si>
    <t>Figura 6.24: Variação da distância direta média por empresa, 2015 a 2018</t>
  </si>
  <si>
    <t>Figura 6.25: Tarifa Aérea Média Doméstica Real por UF, 2018</t>
  </si>
  <si>
    <t>Figura 6.26: Variação da Tarifa Aérea Média Doméstica Real por UF, 2018/2017</t>
  </si>
  <si>
    <t>Figura 6.27: Variação da Tarifa Aérea Média Doméstica Real por UF, 2018/2011</t>
  </si>
  <si>
    <t>Figura 6.28: Percentual de assentos comercializados a tarifas inferiores a R$ 100,00 por UF, 2018</t>
  </si>
  <si>
    <t>Figura 6.29: Percentual de assentos comercializados a tarifas inferiores a R$ 300,00 por UF, 2018</t>
  </si>
  <si>
    <t>Figura 6.30: Distância direta média por UF em quilômetros, 2018</t>
  </si>
  <si>
    <t>Figura 6.31: Yield Tarifa Aérea Médio Doméstico Real por UF, 2018</t>
  </si>
  <si>
    <t>Figura 6.32: Variação do Yield Tarifa Aérea Médio Doméstico Real por UF 2018/2017</t>
  </si>
  <si>
    <t>Figura 6.33: Variação do Yield Tarifa Aérea Médio Doméstico Real por UF 2018/2011</t>
  </si>
  <si>
    <t>Figura 6.34: Percentual de assentos comercializados com Yield inferior a R$ 0,10 por UF em 2018</t>
  </si>
  <si>
    <t>Figura 6.35: Percentual de assentos comercializados com Yield inferior a R$ 0,30 por UF em 2018</t>
  </si>
  <si>
    <t>Figura 7.1: Receita de Serviços Aéreos Públicos (R$ 1.000,00) da indústria, 2009 a 2018</t>
  </si>
  <si>
    <t>Figura 7.2: Variação da Receita de Serviços aéreos Públicos da indústria com relação ao ano anterior, 2010 a 2018</t>
  </si>
  <si>
    <t>Figura 7.3: Composição das receitas de serviços aéreos públicos da indústria, 2018</t>
  </si>
  <si>
    <t>Figura 7.4: Evolução da composição da Receita de Voo por tipo de receita, 2009 a 2018</t>
  </si>
  <si>
    <t>Figura 7.5: Receita de Serviços Aéreos Públicos (R$ 1.000,00) por empresa, 2015 a 2018</t>
  </si>
  <si>
    <t>Figura 7.6: Variação da Receita de Serviços Aéreos Públicos (%) por empresa, 2015 a 2018</t>
  </si>
  <si>
    <t>Figura 7.7: Receita com Carga e Mala Postal (R$ 1.000,00) da indústria, 2009 a 2018</t>
  </si>
  <si>
    <t>Figura 7.8: Receita com Carga e Mala Postal (R$ 1.000,00) por empresa, 2015 a 2018</t>
  </si>
  <si>
    <t>Figura 7.9: Custos e Despesas de voo da indústria, 2009 a 2018</t>
  </si>
  <si>
    <t>Figura 7.10: Variação dos custos e despesas de voo da indústria, 2010 a 2018</t>
  </si>
  <si>
    <t>Figura 7.11: Composição dos custos e das despesas de voo da indústria, 2018</t>
  </si>
  <si>
    <t>Figura 7.12: Evolução da composição das despesas e dos custos de voo – por tipo, 2015 a 2018</t>
  </si>
  <si>
    <t>Figura 7.13: Evolução das despesas e dos custos de voo da indústria – por tipo, 2009 a 2014</t>
  </si>
  <si>
    <t>Figura 7.14: Evolução da composição das despesas e dos custos de voo – por tipo, 2009 a 2014</t>
  </si>
  <si>
    <t>Figura 7.15: Evolução dos custos e despesas de voo por empresa, 2015 a 2018</t>
  </si>
  <si>
    <t>Figura 7.16: Resultado Financeiro (R$ 1.000,00) da indústria, 2009 a 2018</t>
  </si>
  <si>
    <t>Figura 7.17: Resultado Financeiro (R$ 1.000,00) por empresa, 2015 a 2018</t>
  </si>
  <si>
    <t>Figura 7.18: Resultado Líquido da indústria (R$ 1.000,00), 2009 a 2018</t>
  </si>
  <si>
    <t>Figura 7.19: Resultado Líquido (R$ 1.000,00), 2015 a 2018</t>
  </si>
  <si>
    <t>Figura 7.20: Caixa e equivalentes da Indústria no início e final do período, 2018</t>
  </si>
  <si>
    <t>Figura 7.21: Caixa líquido gerado/consumido da Indústria, 2018</t>
  </si>
  <si>
    <t>Figura 7.22: Caixa e equivalentes no início e final do período por empresa (R$ 1.000.000,00), 2018</t>
  </si>
  <si>
    <t>Figura 7.23: Caixa líquido gerado/consumido por empresa (R$ 1.000.000,00), 2018</t>
  </si>
  <si>
    <t>Figura 7.24: Margem Bruta da indústria, 2009 a 2018</t>
  </si>
  <si>
    <t>Figura 7.25: Margem Bruta por empresa, 2015 a 2018</t>
  </si>
  <si>
    <t>Figura 7.26: EBIT (R$ 1.000,00) da indústria, 2009 a 2018</t>
  </si>
  <si>
    <t>Figura 7.27: EBIT (R$ 1.000,00) por empresa, 2015 a 2018</t>
  </si>
  <si>
    <t>Figura 7.28: Margem EBIT da indústria, 2009 a 2018</t>
  </si>
  <si>
    <t>Figura 7.29: Margem EBIT por empresa, 2015 a 2018</t>
  </si>
  <si>
    <t>Figura 7.30: Margem Líquida da indústria, 2009 a 2018</t>
  </si>
  <si>
    <t>Figura 7.31: Margem Líquida por empresa, 2015 a 2018</t>
  </si>
  <si>
    <t>Figura 7.32: RASK (R$/ASK) da indústria, 2009 a 2018</t>
  </si>
  <si>
    <t>Figura 7.33: RASK (R$/ASK) por empresa, 2015 a 2018</t>
  </si>
  <si>
    <t>Figura 7.34: CASK (R$/ASK) da indústria, 2009 a 2018</t>
  </si>
  <si>
    <t>Figura 7.35: CASK (R$/ASK) por empresa, 2015 a 2018</t>
  </si>
  <si>
    <t>Figura 7.36: RASK Passagem Aérea (R$/ASK) da indústria, 2009 a 2018</t>
  </si>
  <si>
    <t>Figura 7.37: RASK Passagem Aérea (R$/ASK) por empresa, 2015 a 2018</t>
  </si>
  <si>
    <t>Figura 7.38: RASK/CASK da indústria, 2009 a 2018</t>
  </si>
  <si>
    <t>Figura 7.39: RASK/CASK por empresa, 2015 a 2018</t>
  </si>
  <si>
    <t>Figura 7.40: RATK (R$/ATK) da indústria, 2009 a 2018</t>
  </si>
  <si>
    <t>Figura 7.41: RATK (R$/ATK) por empresa, 2015 a 2018</t>
  </si>
  <si>
    <t>Figura 7.42: CATK (R$/ATK) da indústria, 2009 a 2018</t>
  </si>
  <si>
    <t>Figura 7.43: CATK (R$/ATK) por empresa, 2015 a 2018</t>
  </si>
  <si>
    <t>Figura 7.44: RATK/CATK da indústria, 2009 a 2018</t>
  </si>
  <si>
    <t>Figura 7.45: RATK/CATK por empresa, 2015 a 2018</t>
  </si>
  <si>
    <t>1. Estrutura das empresas aéreas</t>
  </si>
  <si>
    <t>2. Oferta de Transporte Aéreo</t>
  </si>
  <si>
    <t>7. Aspectos Econômico-Financeiros</t>
  </si>
  <si>
    <t>6. Tarifas Aéreas Domésticas</t>
  </si>
  <si>
    <t>5. Percentuais de Atrasos e Cancelamentos</t>
  </si>
  <si>
    <t>4. Aproveitamento das Aeronaves</t>
  </si>
  <si>
    <t>3. Demanda por Trasporte Aéreo</t>
  </si>
  <si>
    <t>Figura 1.1</t>
  </si>
  <si>
    <t>Quantidade de empregados por categoria – empresas aéreas brasileiras, 2013 a 2018</t>
  </si>
  <si>
    <t>Figura 1.2</t>
  </si>
  <si>
    <t>Proporção de empregados por categoria – empresas aéreas brasileiras, 2018</t>
  </si>
  <si>
    <t>Figura 1.3</t>
  </si>
  <si>
    <t>Quantidade de empregados por aeronave – empresas aéreas brasileiras, 2016 a 2018</t>
  </si>
  <si>
    <t>Figura 1.4</t>
  </si>
  <si>
    <t>Proporção de pilotos e co-pilotos no total de empregados – empresas aéreas brasileiras, 2016 a 2018</t>
  </si>
  <si>
    <t>Figura 1.5</t>
  </si>
  <si>
    <t>Número de pilotos e co-pilotos por mil decolagens – empresas aéreas brasileiras, 2016 a 2018</t>
  </si>
  <si>
    <t>Figura 1.6</t>
  </si>
  <si>
    <t>Quantidade de aeronaves por fabricante – empresas aéreas brasileiras, 2014 a 2018</t>
  </si>
  <si>
    <t>Figura 1.7</t>
  </si>
  <si>
    <t>Proporção de aeronaves por assentos de passageiro instalados – empresas aéreas brasileiras, 2018</t>
  </si>
  <si>
    <t>Evolução da quantidade de voos – mercados doméstico e internacional, 2009 a 2018</t>
  </si>
  <si>
    <t>Variação na quantidade de voos com relação ao ano anterior – mercados doméstico e internacional, 2009 a 2018</t>
  </si>
  <si>
    <t>Variação na quantidade de voos com relação ao mesmo mês do ano anterior – mercados doméstico e internacional, 2018</t>
  </si>
  <si>
    <t>Variação na quantidade de voos com relação ao mesmo mês do ano anterior – mercado doméstico, 2018</t>
  </si>
  <si>
    <t>Participação das quatro principais empresas no número de voos – mercado doméstico, 2018</t>
  </si>
  <si>
    <t>Figura 2.8</t>
  </si>
  <si>
    <t>Variação na quantidade de voos com relação ao ano anterior por empresa – mercado doméstico, 2018</t>
  </si>
  <si>
    <t>Figura 2.9</t>
  </si>
  <si>
    <t>Participação dos 20 principais aeroportos na quantidade de decolagens – mercado doméstico, 2018</t>
  </si>
  <si>
    <t>Figura 2.10</t>
  </si>
  <si>
    <t>Variação da quantidade de decolagens nos 20 principais aeroportos com relação ao ano anterior – mercado doméstico, 2018</t>
  </si>
  <si>
    <t>Figura 2.11</t>
  </si>
  <si>
    <t>Quantidade de decolagens por região (milhares) – mercado doméstico, 2018</t>
  </si>
  <si>
    <t>Figura 2.12</t>
  </si>
  <si>
    <t>Quantidade de decolagens por mil de habitantes por região – mercado doméstico, 2018</t>
  </si>
  <si>
    <t>Figura 2.13</t>
  </si>
  <si>
    <t>Variação no número de decolagens por região com relação ao ano anterior – mercado doméstico, 2018</t>
  </si>
  <si>
    <t>Figura 2.14</t>
  </si>
  <si>
    <t>Evolução do ASK – mercado doméstico, 2009 a 2018</t>
  </si>
  <si>
    <t>Figura 2.15</t>
  </si>
  <si>
    <t>Variação do ASK em relação ao ano anterior – mercado doméstico, 2009 a 2018</t>
  </si>
  <si>
    <t>Figura 2.16</t>
  </si>
  <si>
    <t>Variação no ASK com relação ao mesmo mês do ano anterior – mercado doméstico, 2018</t>
  </si>
  <si>
    <t>Figura 2.17</t>
  </si>
  <si>
    <t>Participação das quatro maiores empresas no ASK – mercado doméstico, 2018</t>
  </si>
  <si>
    <t>Figura 2.18</t>
  </si>
  <si>
    <t>Variação do ASK com relação ao ano anterior por empresa – mercado doméstico, 2018</t>
  </si>
  <si>
    <t>Figura 2.19</t>
  </si>
  <si>
    <t>Variação no ASK com relação ao mesmo mês do ano anterior – Latam e Gol – mercado doméstico, 2018</t>
  </si>
  <si>
    <t>Figura 2.20</t>
  </si>
  <si>
    <t>Variação no ASK com relação ao mesmo mês do ano anterior – Azul, Avianca – mercado doméstico, 2018</t>
  </si>
  <si>
    <t>Figura 2.21</t>
  </si>
  <si>
    <t>Figura 2.22</t>
  </si>
  <si>
    <t>Decolagens por estado e aeroporto – região Sudeste, 2018</t>
  </si>
  <si>
    <t>Figura 2.23</t>
  </si>
  <si>
    <t>Decolagens por estado e aeroporto – região Nordeste, 2018</t>
  </si>
  <si>
    <t>Figura 2.24</t>
  </si>
  <si>
    <t>Decolagens por estado e aeroporto – região Sul, 2018</t>
  </si>
  <si>
    <t>Figura 2.25</t>
  </si>
  <si>
    <t>Decolagens por estado e aeroporto – região Centro-Oeste, 2018</t>
  </si>
  <si>
    <t>Figura 2.26</t>
  </si>
  <si>
    <t>Decolagens por estado e aeroporto – região Norte, 2018</t>
  </si>
  <si>
    <t>Figura 2.27</t>
  </si>
  <si>
    <t>Aeroportos utilizados por empresa – mercado doméstico, 2017 e 2018</t>
  </si>
  <si>
    <t>Figura 2.28</t>
  </si>
  <si>
    <t>Evolução do número de voos realizados – mercado internacional, 2009 a 2018</t>
  </si>
  <si>
    <t>Figura 2.29</t>
  </si>
  <si>
    <t>Variação no número de voos realizados em relação ao ano anterior – mercado internacional, 2009 a 2018</t>
  </si>
  <si>
    <t>Figura 2.30</t>
  </si>
  <si>
    <t>Variação no número de voos realizados em relação ao mesmo mês do ano anterior – mercado internacional, 2018</t>
  </si>
  <si>
    <t>Figura 2.31</t>
  </si>
  <si>
    <t>Evolução do número de voos realizados por nacionalidade da empresa – mercado internacional, 2009 a 2018</t>
  </si>
  <si>
    <t>Figura 2.32</t>
  </si>
  <si>
    <t>Proporção de voos realizados por nacionalidade da empresa – mercado internacional, 2009 a 2018</t>
  </si>
  <si>
    <t>Figura 2.33</t>
  </si>
  <si>
    <t>Variação do número de voos realizados por nacionalidade da empresa – mercado internacional, 2018/2009</t>
  </si>
  <si>
    <t>Figura 2.34</t>
  </si>
  <si>
    <t>Variação do número de voos realizados por nacionalidade da empresa – mercado internacional, 2018/2017</t>
  </si>
  <si>
    <t>Figura 2.35</t>
  </si>
  <si>
    <t>Participação de mercado das maiores empresas em termos de voos realizados – mercado internacional, 2018</t>
  </si>
  <si>
    <t>Figura 2.36</t>
  </si>
  <si>
    <t>Variação na quantidade de voos realizados pelas maiores empresas – mercado internacional, 2018/2017</t>
  </si>
  <si>
    <t>Figura 2.37</t>
  </si>
  <si>
    <t>Quantidade de voos entre Brasil e outros países, por continente, 2017 e 2018</t>
  </si>
  <si>
    <t>Figura 2.38</t>
  </si>
  <si>
    <t>Quantidade de voos realizados entre o Brasil e os 20 principais destinos internacionais, 2017 e 2018</t>
  </si>
  <si>
    <t>Figura 2.39</t>
  </si>
  <si>
    <t>Evolução do ASK – mercado internacional, 2009 a 2018</t>
  </si>
  <si>
    <t>Figura 2.40</t>
  </si>
  <si>
    <t>Variação no ASK em relação ao ano anterior – mercado internacional, 2009 a 2018</t>
  </si>
  <si>
    <t>Figura 2.41</t>
  </si>
  <si>
    <t>Evolução do ASK por nacionalidade das empresas – mercado internacional, 2009 a 2018</t>
  </si>
  <si>
    <t>Figura 2.42</t>
  </si>
  <si>
    <t>Variação do ASK por nacionalidade da empresa – mercado internacional, 2018/2009</t>
  </si>
  <si>
    <t>Figura 2.43</t>
  </si>
  <si>
    <t>Variação do ASK por nacionalidade da empresa – mercado internacional, 2018/2017</t>
  </si>
  <si>
    <t>Figura 2.44</t>
  </si>
  <si>
    <t>Participação de mercado das maiores empresas em termos de ASK – mercado internacional, 2018</t>
  </si>
  <si>
    <t>Figura 2.45</t>
  </si>
  <si>
    <t>Variação do ASK das maiores empresas – mercado internacional, 2018/2017</t>
  </si>
  <si>
    <t>Evolução da quantidade de passageiros pagos transportados – mercados doméstico e internacional, 2009 a 2018</t>
  </si>
  <si>
    <t>Variação da quantidade de passageiros pagos transportados – mercados doméstico e internacional, 2009 a 2018</t>
  </si>
  <si>
    <t>Evolução do RPK – mercados doméstico e internacional, 2009 a 2018</t>
  </si>
  <si>
    <t>Figura 3.4</t>
  </si>
  <si>
    <t>Variação do RPK – mercados doméstico e internacional, 2009 a 2018</t>
  </si>
  <si>
    <t>Figura 3.5</t>
  </si>
  <si>
    <t>Evolução da quantidade de carga paga e correio transportados – mercados doméstico e internacional, 2009 a 2018</t>
  </si>
  <si>
    <t>Variação da quantidade de carga paga e correio transportados – mercados doméstico e internacional, 2009 a 2018</t>
  </si>
  <si>
    <t>Evolução do número de passageiros pagos transportados – mercado doméstico, 2009 a 2018</t>
  </si>
  <si>
    <t>Variação nos passageiros pagos transportados em relação ao ano anterior – mercado doméstico, 2009 a 2018</t>
  </si>
  <si>
    <t>Variação nos passageiros pagos transportados com relação ao mesmo mês do ano anterior – mercado doméstico, 2018</t>
  </si>
  <si>
    <t>Variação de passageiros pagos transportados com relação ao ano anterior por empresa – mercado doméstico, 2018</t>
  </si>
  <si>
    <t>Variação no número de passageiros pagos transportados (milhões de passageiros) – mercado doméstico, 2018</t>
  </si>
  <si>
    <t>Passageiros pagos embarcados por região brasileira, em milhões – mercado doméstico, 2018</t>
  </si>
  <si>
    <t>Distribuição dos passageiros embarcados por região – mercado doméstico, 2018</t>
  </si>
  <si>
    <t>Passageiros embarcados por aeroporto e unidade da federação – região Centro-Oeste – mercado doméstico, 2018</t>
  </si>
  <si>
    <t>Passageiros embarcados por aeroporto e unidade da federação – Região Sul – mercado doméstico, 2018</t>
  </si>
  <si>
    <t>Passageiros embarcados por aeroporto e unidade da federação – região Norte – mercado doméstico, 2018</t>
  </si>
  <si>
    <t>Distribuição dos embarques nos 20 maiores aeroportos – mercado doméstico, 2018</t>
  </si>
  <si>
    <t>Variação no número de embarques em relação ao ano anterior por aeroporto – mercado doméstico, 2018</t>
  </si>
  <si>
    <t>Passageiros pagos transportados nas 20 principais rotas* – mercado doméstico, 2017 e 2018</t>
  </si>
  <si>
    <t>Evolução do RPK – mercado doméstico, 2009 a 2018</t>
  </si>
  <si>
    <t>Variação do RPK em relação ao ano anterior – mercado doméstico, 2009 a 2018</t>
  </si>
  <si>
    <t>Variação do RPK em relação ao mesmo mês do ano anterior – mercado doméstico, 2018</t>
  </si>
  <si>
    <t>Participação das cinco maiores empresas no RPK – mercado doméstico, 2010 a 2018</t>
  </si>
  <si>
    <t>Variação no RPK com relação ao ano anterior por empresa – mercado doméstico, 2018</t>
  </si>
  <si>
    <t>Evolução da quantidade de carga paga e correio transportados – mercado doméstico, 2009 a 2018</t>
  </si>
  <si>
    <t>Participação das principais empresas em termos de carga paga e correio transportados – mercado doméstico, 2018</t>
  </si>
  <si>
    <t>Variação da carga paga e correio transportados com relação ao ano anterior por empresa – mercado doméstico, 2018</t>
  </si>
  <si>
    <t>Carga paga e correio transportados nas 20 principais rotas – mercado doméstico, 2017 e 2018</t>
  </si>
  <si>
    <t>Carga e correio despachados por unidade da federação – mercado doméstico, 2018</t>
  </si>
  <si>
    <t>Evolução do número de passageiros pagos transportados – mercado internacional, 2009 a 2018</t>
  </si>
  <si>
    <t>Variação no número de passageiros pagos transportados em relação ao ano anterior – mercado internacional, 2009 a 2018</t>
  </si>
  <si>
    <t>Variação nos passageiros pagos transportados com relação ao mesmo mês do ano anterior – mercado internacional, 2018</t>
  </si>
  <si>
    <t>Evolução do número de passageiros pagos transportados por nacionalidade da empresa – mercado internacional, 2009 a 2018</t>
  </si>
  <si>
    <t>Variação do número de passageiros pagos transportados por nacionalidade da empresa – mercado internacional, 2018/2009</t>
  </si>
  <si>
    <t>Variação do número de passageiros pagos transportados por nacionalidade da empresa – mercado internacional, 2018/2017</t>
  </si>
  <si>
    <t>Participação de mercado das maiores empresas em termos de passageiros pagos transportados – mercado internacional, 2018</t>
  </si>
  <si>
    <t>Variação na quantidade de passageiros pagos transportados pelas maiores empresas – mercado internacional, 2018/2017</t>
  </si>
  <si>
    <t>Quantidade de passageiros transportados entre o Brasil e outros países por continente, 2017 e 2018</t>
  </si>
  <si>
    <t>Quantidade de passageiros transportados entre o Brasil e os 20 principais destinos internacionais, 2017 e 2018</t>
  </si>
  <si>
    <t>Evolução do RPK – mercado internacional, 2009 a 2018</t>
  </si>
  <si>
    <t>Variação no RPK em relação ao ano anterior – mercado internacional, 2009 a 2018</t>
  </si>
  <si>
    <t>Evolução do RPK por nacionalidade das empresas – mercado internacional – 2009 a 2018</t>
  </si>
  <si>
    <t>Variação do RPK por nacionalidade da empresa – mercado internacional, 2018/2009</t>
  </si>
  <si>
    <t>Variação do RPK por nacionalidade da empresa – mercado internacional, 2018/2017</t>
  </si>
  <si>
    <t>Participação de mercado das maiores empresas em termos de RPK – mercado internacional, 2018</t>
  </si>
  <si>
    <t>Figura 3.50</t>
  </si>
  <si>
    <t>Variação do RPK das maiores empresas – mercado internacional, 2018/2017</t>
  </si>
  <si>
    <t>Figura 3.51</t>
  </si>
  <si>
    <t>Evolução da quantidade de carga paga e correio transportados – mercado internacional, 2009 a 2018</t>
  </si>
  <si>
    <t>Figura 3.52</t>
  </si>
  <si>
    <t>Evolução da quantidade de carga paga e correio transportados por nacionalidade das empresas – mercado internacional, 2009 a 2018</t>
  </si>
  <si>
    <t>Figura 3.53</t>
  </si>
  <si>
    <t>Variação na quantidade de carga paga e correio transportados – mercado internacional, 2018/2009</t>
  </si>
  <si>
    <t>Figura 3.54</t>
  </si>
  <si>
    <t>Variação na quantidade de carga paga e correio transportados – mercado internacional, 2018/2017</t>
  </si>
  <si>
    <t>Figura 3.55</t>
  </si>
  <si>
    <t>Participação das principais empresas na quantidade de carga paga e correio transportados – mercado internacional, 2018</t>
  </si>
  <si>
    <t>Figura 3.56</t>
  </si>
  <si>
    <t>Variação da quantidade de carga paga e correio transportados pelas principais empresas – mercado internacional, 2018/2017</t>
  </si>
  <si>
    <t>Figura 3.57</t>
  </si>
  <si>
    <t>Quantidade de carga paga e correio transportados entre Brasil e demais países por continente – mercado internacional, 2018</t>
  </si>
  <si>
    <t>Figura 3.58</t>
  </si>
  <si>
    <t>Quantidade de carga paga e correio transportados nas 20 principais rotas internacionais com origem no Brasil, 2018</t>
  </si>
  <si>
    <t>Figura 3.59</t>
  </si>
  <si>
    <t>Quantidade de carga paga e correio transportados nas 20 principais rotas internacionais com destino no Brasil, 2018</t>
  </si>
  <si>
    <t>Figura 3.60</t>
  </si>
  <si>
    <t>Evolução da quantidade de passageiros interestaduais transportados pelos modais aéreo e rodoviário, 2009 a 2018</t>
  </si>
  <si>
    <t>Figura 3.61</t>
  </si>
  <si>
    <t>Participação dos modais aéreo e rodoviário no transporte interestadual de passageiros, 2018</t>
  </si>
  <si>
    <t>Figura 3.62</t>
  </si>
  <si>
    <t>Participação dos modais aéreo e rodoviário no transporte interestadual de, 2009 e 2017</t>
  </si>
  <si>
    <t>Evolução do aproveitamento em termos de RPK/ASK – mercados doméstico e internacional, 2009 a 2018</t>
  </si>
  <si>
    <t>Variação do aproveitamento RPK/ASK com relação ao ano anterior – mercados doméstico e internacional, 2009 a 2018</t>
  </si>
  <si>
    <t>Aproveitamento RPK/ASK mensal – mercados doméstico e internacional, 2018</t>
  </si>
  <si>
    <t>Variação do aproveitamento RPK/ASK com relação ao mesmo mês do ano anterior – mercados doméstico e internacional, 2018</t>
  </si>
  <si>
    <t>Aproveitamento em termos de Horas Voadas por Aeronave-Dia Disponível por empresa – mercados doméstico e internacional, 2017 (esquerda) e 2018 (direita)</t>
  </si>
  <si>
    <t>Aproveitamento em termos de Horas Voadas por Aeronave-Dia Disponível por configuração da aeronave – empresas brasileiras, 2017 e 2018</t>
  </si>
  <si>
    <t>Evolução do aproveitamento em termos de RPK/ASK – mercado doméstico, 2009 a 2018</t>
  </si>
  <si>
    <t>Variação do aproveitamento RPK/ASK com relação ao ano anterior – mercado doméstico, 2009 a 2018</t>
  </si>
  <si>
    <t>Aproveitamento RPK/ASK mensal – mercado doméstico, 2018</t>
  </si>
  <si>
    <t>Figura 4.10</t>
  </si>
  <si>
    <t>Variação do aproveitamento RPK/ASK com relação ao mesmo mês do ano anterior – mercado doméstico, 2018</t>
  </si>
  <si>
    <t>Aproveitamento em termos de RPK/ASK, por empresa – mercado doméstico, 2017 (esquerda) e 2018 (direita)</t>
  </si>
  <si>
    <t>Evolução do aproveitamento em termos de RPK/ASK – mercado internacional, 2009 a 2018</t>
  </si>
  <si>
    <t>Variação do aproveitamento RPK/ASK – mercado internacional, 2018</t>
  </si>
  <si>
    <t>Aproveitamento RPK/ASK mensal – mercado internacional, 2018</t>
  </si>
  <si>
    <t>Figura 4.15</t>
  </si>
  <si>
    <t>Variação do aproveitamento RPK/ASK com relação ao mesmo mês do ano anterior – mercado internacional, 2018</t>
  </si>
  <si>
    <t>Figura 4.16</t>
  </si>
  <si>
    <t>Aproveitamento em termos de RPK/ASK, por empresa – mercado internacional, 2017 (esquerda) e 2018 (direita)</t>
  </si>
  <si>
    <t>Evolução dos Percentuais de Atrasos e Cancelamentos – indústria, por ano, 2009 a 2018</t>
  </si>
  <si>
    <t>Variação dos Percentuais de Atrasos e Cancelamentos com relação ao ano anterior – indústria, 2009 a 2018</t>
  </si>
  <si>
    <t>Evolução dos Percentuais de Atrasos e Cancelamentos – indústria, por mês, 2018</t>
  </si>
  <si>
    <t>Variação dos Percentuais de Atrasos e Cancelamentos com relação ao mesmo mês do ano anterior, – indústria, 2018</t>
  </si>
  <si>
    <t>Evolução dos Percentuais de Atrasos e Cancelamentos – mercado doméstico, por ano, 2009 a 2018</t>
  </si>
  <si>
    <t>Variação dos Percentuais de Atrasos e Cancelamentos com relação ao ano anterior – mercado doméstico, 2009 a 2018</t>
  </si>
  <si>
    <t>Percentuais mensais de Atrasos e Cancelamentos – mercado doméstico, 2018</t>
  </si>
  <si>
    <t>Variação dos Percentuais de Atrasos e Cancelamentos com relação ao mesmo mês do ano anterior – mercado doméstico, 2018</t>
  </si>
  <si>
    <t>Evolução dos Percentuais de Atrasos e Cancelamentos – mercado internacional, por ano, 2009 a 2018</t>
  </si>
  <si>
    <t>Variação dos Percentuais de Atrasos e Cancelamentos com relação ao ano anterior – mercado internacional, 2009 a 2018</t>
  </si>
  <si>
    <t>Percentuais de Atrasos nas 20 principais rotas domésticas, 2018</t>
  </si>
  <si>
    <t>Percentuais de Cancelamentos nas 20 principais rotas domésticas, 2018</t>
  </si>
  <si>
    <t>Percentuais de Atrasos nas 20 principais rotas internacionais, 2018</t>
  </si>
  <si>
    <t>Percentuais de Cancelamentos nas 20 principais rotas internacionais, 2018</t>
  </si>
  <si>
    <t>Evolução da Tarifa Aérea Média Doméstica Real, 2009 a 2018</t>
  </si>
  <si>
    <t>Variação da Tarifa Aérea Média Doméstica Real com relação ao ano anterior, 2009 a 2018</t>
  </si>
  <si>
    <t>Tarifa Aérea Média Doméstica Real mensal, 2016 a 2018</t>
  </si>
  <si>
    <t>Variação Tarifa Aérea Média Doméstica Real com relação ao mesmo mês no ano anterior, 2016 a 2018</t>
  </si>
  <si>
    <t>Tarifa Aérea Doméstica Real Trimestral, 2016 a 2018</t>
  </si>
  <si>
    <t>Variação da Tarifa Aérea Doméstica Real Trimestral com relação ao mesmo trimestre do ano anterior, 2016 a 2018</t>
  </si>
  <si>
    <t>Distribuição percentual de assentos comercializados por intervalo de Tarifa Aérea Doméstica Real, 2009 e 2018</t>
  </si>
  <si>
    <t>Evolução da distância direta média, 2009 a 2018</t>
  </si>
  <si>
    <t>Evolução Do Yield Tarifa Aérea Médio Doméstico Real, 2009 a 2018</t>
  </si>
  <si>
    <t>Variação do Yield Tarifa Aérea Médio Doméstica Real com relação ao ano anterior, 2009 a 2018</t>
  </si>
  <si>
    <t>Yield Tarifa Aérea Médio Doméstico Real mensal, 2016 a 2018</t>
  </si>
  <si>
    <t>Variação do Yield Tarifa Aérea Médio Doméstico Real com relação ao mesmo mês do ano anterior, 2016 a 2018</t>
  </si>
  <si>
    <t>Yield Tarifa Aérea Doméstica Real médio trimestral, 2016 a 2018</t>
  </si>
  <si>
    <t>Variação do Yield Tarifa Aérea Doméstico Real com relação ao mesmo trimestre do ano anterior, 2016 a 2018</t>
  </si>
  <si>
    <t>Distribuição percentual de assentos comercializados por intervalo de Yield Tarifa Aérea Doméstico Real, 2009 e 2018</t>
  </si>
  <si>
    <t>Evolução da Tarifa Aérea Média Doméstica Real por empresa, 2015 a 2018</t>
  </si>
  <si>
    <t>Figura 6.17</t>
  </si>
  <si>
    <t>Variação da Tarifa Aérea Média Doméstica Real por empresa, 2015 a 2018</t>
  </si>
  <si>
    <t>Figura 6.18</t>
  </si>
  <si>
    <t>Tarifa Aérea Média Doméstica Real média trimestral por empresa, 2015 a 2018</t>
  </si>
  <si>
    <t>Figura 6.19</t>
  </si>
  <si>
    <t>Variação da Tarifa Aérea Média Doméstica Real com relação ao mesmo trimestre do ano anterior por empresa, 2015 a 2018</t>
  </si>
  <si>
    <t>Figura 6.20</t>
  </si>
  <si>
    <t>Evolução do Yield Tarifa Aérea Médio Doméstico Real por empresa, 2015 a 2018</t>
  </si>
  <si>
    <t>Figura 6.21</t>
  </si>
  <si>
    <t>Variação do Yield Tarifa Aérea Médio Doméstico Real por empresa, 2015 a 2018</t>
  </si>
  <si>
    <t>Figura 6.22</t>
  </si>
  <si>
    <t>Yield Tarifa Aérea Médio Doméstico Real trimestral por empresa, 2015 a 2018</t>
  </si>
  <si>
    <t>Figura 6.23</t>
  </si>
  <si>
    <t>Yield Tarifa Aérea Médio Doméstico Real com relação ao mesmo trimestre do ano anterior por empresa, 2015 a 2018</t>
  </si>
  <si>
    <t>Figura 6.24</t>
  </si>
  <si>
    <t>Variação da distância direta média por empresa, 2015 a 2018</t>
  </si>
  <si>
    <t>Figura 6.25</t>
  </si>
  <si>
    <t>Tarifa Aérea Média Doméstica Real por UF, 2018</t>
  </si>
  <si>
    <t>Figura 6.26</t>
  </si>
  <si>
    <t>Variação da Tarifa Aérea Média Doméstica Real por UF, 2018/2017</t>
  </si>
  <si>
    <t>Figura 6.27</t>
  </si>
  <si>
    <t>Variação da Tarifa Aérea Média Doméstica Real por UF, 2018/2011</t>
  </si>
  <si>
    <t>Figura 6.28</t>
  </si>
  <si>
    <t>Percentual de assentos comercializados a tarifas inferiores a R$ 100,00 por UF, 2018</t>
  </si>
  <si>
    <t>Figura 6.29</t>
  </si>
  <si>
    <t>Percentual de assentos comercializados a tarifas inferiores a R$ 300,00 por UF, 2018</t>
  </si>
  <si>
    <t>Figura 6.30</t>
  </si>
  <si>
    <t>Distância direta média por UF em quilômetros, 2018</t>
  </si>
  <si>
    <t>Figura 6.31</t>
  </si>
  <si>
    <t>Yield Tarifa Aérea Médio Doméstico Real por UF, 2018</t>
  </si>
  <si>
    <t>Figura 6.32</t>
  </si>
  <si>
    <t>Variação do Yield Tarifa Aérea Médio Doméstico Real por UF 2018/2017</t>
  </si>
  <si>
    <t>Figura 6.33</t>
  </si>
  <si>
    <t>Variação do Yield Tarifa Aérea Médio Doméstico Real por UF 2018/2011</t>
  </si>
  <si>
    <t>Figura 6.34</t>
  </si>
  <si>
    <t>Percentual de assentos comercializados com Yield inferior a R$ 0,10 por UF em 2018</t>
  </si>
  <si>
    <t>Figura 6.35</t>
  </si>
  <si>
    <t>Percentual de assentos comercializados com Yield inferior a R$ 0,30 por UF em 2018</t>
  </si>
  <si>
    <t>Receita de Serviços Aéreos Públicos (R$ 1.000,00) da indústria, 2009 a 2018</t>
  </si>
  <si>
    <t>Variação da Receita de Serviços aéreos Públicos da indústria com relação ao ano anterior, 2010 a 2018</t>
  </si>
  <si>
    <t>Composição das receitas de serviços aéreos públicos da indústria, 2018</t>
  </si>
  <si>
    <t>Evolução da composição da Receita de Voo por tipo de receita, 2009 a 2018</t>
  </si>
  <si>
    <t>Receita de Serviços Aéreos Públicos (R$ 1.000,00) por empresa, 2015 a 2018</t>
  </si>
  <si>
    <t>Variação da Receita de Serviços Aéreos Públicos (%) por empresa, 2015 a 2018</t>
  </si>
  <si>
    <t>Receita com Carga e Mala Postal (R$ 1.000,00) da indústria, 2009 a 2018</t>
  </si>
  <si>
    <t>Receita com Carga e Mala Postal (R$ 1.000,00) por empresa, 2015 a 2018</t>
  </si>
  <si>
    <t>Custos e Despesas de voo da indústria, 2009 a 2018</t>
  </si>
  <si>
    <t>Variação dos custos e despesas de voo da indústria, 2010 a 2018</t>
  </si>
  <si>
    <t>Composição dos custos e das despesas de voo da indústria, 2018</t>
  </si>
  <si>
    <t>Evolução da composição das despesas e dos custos de voo – por tipo, 2015 a 2018</t>
  </si>
  <si>
    <t>Evolução dos custos e despesas de voo por empresa, 2015 a 2018</t>
  </si>
  <si>
    <t>Resultado Financeiro (R$ 1.000,00) da indústria, 2009 a 2018</t>
  </si>
  <si>
    <t>Resultado Financeiro (R$ 1.000,00) por empresa, 2015 a 2018</t>
  </si>
  <si>
    <t>Resultado Líquido da indústria (R$ 1.000,00), 2009 a 2018</t>
  </si>
  <si>
    <t>Resultado Líquido (R$ 1.000,00), 2015 a 2018</t>
  </si>
  <si>
    <t>Caixa e equivalentes da Indústria no início e final do período, 2018</t>
  </si>
  <si>
    <t>Caixa líquido gerado/consumido da Indústria, 2018</t>
  </si>
  <si>
    <t>Caixa e equivalentes no início e final do período por empresa (R$ 1.000.000,00), 2018</t>
  </si>
  <si>
    <t>Caixa líquido gerado/consumido por empresa (R$ 1.000.000,00), 2018</t>
  </si>
  <si>
    <t>Margem Bruta da indústria, 2009 a 2018</t>
  </si>
  <si>
    <t>Margem Bruta por empresa, 2015 a 2018</t>
  </si>
  <si>
    <t>EBIT (R$ 1.000,00) da indústria, 2009 a 2018</t>
  </si>
  <si>
    <t>EBIT (R$ 1.000,00) por empresa, 2015 a 2018</t>
  </si>
  <si>
    <t>Margem EBIT da indústria, 2009 a 2018</t>
  </si>
  <si>
    <t>Margem EBIT por empresa, 2015 a 2018</t>
  </si>
  <si>
    <t>Margem Líquida da indústria, 2009 a 2018</t>
  </si>
  <si>
    <t>Margem Líquida por empresa, 2015 a 2018</t>
  </si>
  <si>
    <t>RASK (R$/ASK) da indústria, 2009 a 2018</t>
  </si>
  <si>
    <t>RASK (R$/ASK) por empresa, 2015 a 2018</t>
  </si>
  <si>
    <t>CASK (R$/ASK) da indústria, 2009 a 2018</t>
  </si>
  <si>
    <t>CASK (R$/ASK) por empresa, 2015 a 2018</t>
  </si>
  <si>
    <t>Figura 7.36</t>
  </si>
  <si>
    <t>RASK Passagem Aérea (R$/ASK) da indústria, 2009 a 2018</t>
  </si>
  <si>
    <t>Figura 7.37</t>
  </si>
  <si>
    <t>RASK Passagem Aérea (R$/ASK) por empresa, 2015 a 2018</t>
  </si>
  <si>
    <t>Figura 7.38</t>
  </si>
  <si>
    <t>RASK/CASK da indústria, 2009 a 2018</t>
  </si>
  <si>
    <t>Figura 7.39</t>
  </si>
  <si>
    <t>RASK/CASK por empresa, 2015 a 2018</t>
  </si>
  <si>
    <t>Figura 7.40</t>
  </si>
  <si>
    <t>RATK (R$/ATK) da indústria, 2009 a 2018</t>
  </si>
  <si>
    <t>Figura 7.41</t>
  </si>
  <si>
    <t>RATK (R$/ATK) por empresa, 2015 a 2018</t>
  </si>
  <si>
    <t>Figura 7.42</t>
  </si>
  <si>
    <t>CATK (R$/ATK) da indústria, 2009 a 2018</t>
  </si>
  <si>
    <t>Figura 7.43</t>
  </si>
  <si>
    <t>CATK (R$/ATK) por empresa, 2015 a 2018</t>
  </si>
  <si>
    <t>Figura 7.44</t>
  </si>
  <si>
    <t>RATK/CATK da indústria, 2009 a 2018</t>
  </si>
  <si>
    <t>Figura 7.45</t>
  </si>
  <si>
    <t>RATK/CATK por empresa, 2015 a 2018</t>
  </si>
  <si>
    <t>Evolução da quantidade de voos – mercado doméstico, 2009 a 2018</t>
  </si>
  <si>
    <t>Variação na quantidade de voos com relação ao ano anterior – mercado doméstico, 2009 a 2018</t>
  </si>
  <si>
    <t>Participação das quatro maiores empresas em passageiros pagos transportados – mercado doméstico, 2018</t>
  </si>
  <si>
    <t>Passageiros embarcados por aeroporto e unidade da federação – região Sudeste – mercado doméstico, 2018</t>
  </si>
  <si>
    <t>Passageiros embarcados por aeroporto e unidade da federação – região Nordeste – mercado doméstico, 2018</t>
  </si>
  <si>
    <t>Variação anual da quantidade de carga paga e correio transportados – mercado doméstico, 2009 a 2018</t>
  </si>
  <si>
    <t>Representatividade em 2018</t>
  </si>
  <si>
    <t>Quantidade de aeroportos com mais de 52 voos domésticos regulares no ano por unidade da federação,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</si>
</sst>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(* #,##0.000_);_(* \(#,##0.000\);_(* &quot;-&quot;??_);_(@_)"/>
    <numFmt numFmtId="170" formatCode="0.000"/>
    <numFmt numFmtId="171" formatCode="0.000%"/>
    <numFmt numFmtId="172" formatCode="_(&quot;R$ &quot;* #,##0.000_);_(&quot;R$ &quot;* \(#,##0.000\);_(&quot;R$ &quot;* &quot;-&quot;??_);_(@_)"/>
    <numFmt numFmtId="173" formatCode="0.0"/>
    <numFmt numFmtId="174" formatCode="&quot;R$ &quot;#,##0.00"/>
    <numFmt numFmtId="175" formatCode="_(* #,##0.0_);_(* \(#,##0.0\);_(* &quot;-&quot;?_);_(@_)"/>
    <numFmt numFmtId="176" formatCode="&quot;R$ &quot;#,##0.000"/>
    <numFmt numFmtId="177" formatCode="_(&quot;R$ &quot;* #,##0_);_(&quot;R$ &quot;* \(#,##0\);_(&quot;R$ &quot;* &quot;-&quot;??_);_(@_)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0"/>
      <name val="Calibri"/>
      <family val="2"/>
    </font>
    <font>
      <sz val="9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medium">
        <color rgb="FF95B3D7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3" fillId="11" borderId="0" applyNumberFormat="0" applyBorder="0" applyAlignment="0" applyProtection="0"/>
  </cellStyleXfs>
  <cellXfs count="364">
    <xf numFmtId="0" fontId="0" fillId="0" borderId="0" xfId="0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166" fontId="0" fillId="4" borderId="0" xfId="2" applyNumberFormat="1" applyFont="1" applyFill="1"/>
    <xf numFmtId="166" fontId="0" fillId="0" borderId="0" xfId="2" applyNumberFormat="1" applyFont="1"/>
    <xf numFmtId="166" fontId="3" fillId="3" borderId="0" xfId="2" applyNumberFormat="1" applyFont="1" applyFill="1"/>
    <xf numFmtId="167" fontId="0" fillId="4" borderId="0" xfId="2" applyNumberFormat="1" applyFont="1" applyFill="1"/>
    <xf numFmtId="167" fontId="0" fillId="0" borderId="0" xfId="2" applyNumberFormat="1" applyFont="1"/>
    <xf numFmtId="167" fontId="3" fillId="3" borderId="0" xfId="2" applyNumberFormat="1" applyFont="1" applyFill="1"/>
    <xf numFmtId="168" fontId="0" fillId="4" borderId="0" xfId="3" applyNumberFormat="1" applyFont="1" applyFill="1"/>
    <xf numFmtId="168" fontId="0" fillId="0" borderId="0" xfId="3" applyNumberFormat="1" applyFont="1"/>
    <xf numFmtId="9" fontId="3" fillId="3" borderId="0" xfId="3" applyFont="1" applyFill="1"/>
    <xf numFmtId="0" fontId="3" fillId="3" borderId="0" xfId="0" quotePrefix="1" applyFont="1" applyFill="1" applyAlignment="1">
      <alignment horizontal="center"/>
    </xf>
    <xf numFmtId="168" fontId="4" fillId="4" borderId="0" xfId="3" applyNumberFormat="1" applyFont="1" applyFill="1"/>
    <xf numFmtId="168" fontId="4" fillId="0" borderId="0" xfId="3" applyNumberFormat="1" applyFont="1"/>
    <xf numFmtId="168" fontId="3" fillId="3" borderId="0" xfId="3" applyNumberFormat="1" applyFont="1" applyFill="1"/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0" fontId="0" fillId="4" borderId="0" xfId="3" applyNumberFormat="1" applyFont="1" applyFill="1"/>
    <xf numFmtId="10" fontId="0" fillId="0" borderId="0" xfId="3" applyNumberFormat="1" applyFo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167" fontId="0" fillId="4" borderId="0" xfId="2" applyNumberFormat="1" applyFont="1" applyFill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4" borderId="0" xfId="2" applyNumberFormat="1" applyFont="1" applyFill="1" applyAlignment="1">
      <alignment horizontal="left"/>
    </xf>
    <xf numFmtId="167" fontId="0" fillId="0" borderId="0" xfId="2" applyNumberFormat="1" applyFont="1" applyAlignment="1">
      <alignment horizontal="left"/>
    </xf>
    <xf numFmtId="167" fontId="4" fillId="4" borderId="0" xfId="2" applyNumberFormat="1" applyFont="1" applyFill="1" applyAlignment="1">
      <alignment horizontal="left"/>
    </xf>
    <xf numFmtId="167" fontId="4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4" borderId="0" xfId="3" applyNumberFormat="1" applyFont="1" applyFill="1"/>
    <xf numFmtId="0" fontId="0" fillId="0" borderId="0" xfId="3" applyNumberFormat="1" applyFont="1"/>
    <xf numFmtId="0" fontId="3" fillId="3" borderId="0" xfId="0" applyNumberFormat="1" applyFont="1" applyFill="1" applyAlignment="1">
      <alignment horizontal="right"/>
    </xf>
    <xf numFmtId="0" fontId="5" fillId="0" borderId="0" xfId="0" applyFont="1"/>
    <xf numFmtId="167" fontId="5" fillId="0" borderId="0" xfId="2" applyNumberFormat="1" applyFont="1"/>
    <xf numFmtId="0" fontId="6" fillId="0" borderId="0" xfId="0" applyFont="1"/>
    <xf numFmtId="167" fontId="6" fillId="0" borderId="0" xfId="2" applyNumberFormat="1" applyFont="1"/>
    <xf numFmtId="167" fontId="3" fillId="3" borderId="0" xfId="2" applyNumberFormat="1" applyFont="1" applyFill="1" applyAlignment="1">
      <alignment horizontal="right"/>
    </xf>
    <xf numFmtId="167" fontId="2" fillId="4" borderId="0" xfId="2" applyNumberFormat="1" applyFont="1" applyFill="1"/>
    <xf numFmtId="167" fontId="2" fillId="0" borderId="0" xfId="2" applyNumberFormat="1" applyFont="1"/>
    <xf numFmtId="167" fontId="4" fillId="4" borderId="0" xfId="2" applyNumberFormat="1" applyFont="1" applyFill="1"/>
    <xf numFmtId="167" fontId="4" fillId="0" borderId="0" xfId="2" applyNumberFormat="1" applyFont="1"/>
    <xf numFmtId="0" fontId="7" fillId="0" borderId="0" xfId="0" applyFont="1"/>
    <xf numFmtId="167" fontId="7" fillId="0" borderId="0" xfId="2" applyNumberFormat="1" applyFont="1"/>
    <xf numFmtId="0" fontId="8" fillId="0" borderId="0" xfId="0" applyFont="1"/>
    <xf numFmtId="167" fontId="8" fillId="0" borderId="0" xfId="2" applyNumberFormat="1" applyFont="1"/>
    <xf numFmtId="0" fontId="9" fillId="0" borderId="0" xfId="0" applyFont="1"/>
    <xf numFmtId="167" fontId="9" fillId="0" borderId="0" xfId="2" applyNumberFormat="1" applyFont="1"/>
    <xf numFmtId="0" fontId="10" fillId="0" borderId="0" xfId="0" applyFont="1"/>
    <xf numFmtId="167" fontId="10" fillId="0" borderId="0" xfId="2" applyNumberFormat="1" applyFont="1"/>
    <xf numFmtId="0" fontId="4" fillId="4" borderId="0" xfId="2" applyNumberFormat="1" applyFont="1" applyFill="1" applyAlignment="1">
      <alignment horizontal="left"/>
    </xf>
    <xf numFmtId="0" fontId="4" fillId="0" borderId="0" xfId="2" applyNumberFormat="1" applyFont="1" applyAlignment="1">
      <alignment horizontal="left"/>
    </xf>
    <xf numFmtId="0" fontId="11" fillId="0" borderId="0" xfId="0" applyFont="1"/>
    <xf numFmtId="167" fontId="11" fillId="0" borderId="0" xfId="2" applyNumberFormat="1" applyFont="1"/>
    <xf numFmtId="0" fontId="12" fillId="0" borderId="0" xfId="0" applyFont="1"/>
    <xf numFmtId="167" fontId="12" fillId="0" borderId="0" xfId="2" applyNumberFormat="1" applyFont="1"/>
    <xf numFmtId="167" fontId="2" fillId="0" borderId="0" xfId="2" applyNumberFormat="1" applyFont="1" applyAlignment="1">
      <alignment horizontal="left"/>
    </xf>
    <xf numFmtId="167" fontId="2" fillId="4" borderId="0" xfId="2" applyNumberFormat="1" applyFont="1" applyFill="1" applyAlignment="1">
      <alignment horizontal="left"/>
    </xf>
    <xf numFmtId="167" fontId="3" fillId="3" borderId="0" xfId="0" applyNumberFormat="1" applyFont="1" applyFill="1" applyAlignment="1">
      <alignment horizontal="right"/>
    </xf>
    <xf numFmtId="10" fontId="0" fillId="4" borderId="0" xfId="3" applyNumberFormat="1" applyFont="1" applyFill="1" applyAlignment="1">
      <alignment horizontal="right"/>
    </xf>
    <xf numFmtId="10" fontId="0" fillId="0" borderId="0" xfId="3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Border="1" applyAlignment="1">
      <alignment horizontal="left" indent="1"/>
    </xf>
    <xf numFmtId="0" fontId="0" fillId="4" borderId="0" xfId="0" applyFill="1" applyBorder="1" applyAlignment="1">
      <alignment horizontal="left" indent="1"/>
    </xf>
    <xf numFmtId="0" fontId="0" fillId="0" borderId="0" xfId="0" applyBorder="1"/>
    <xf numFmtId="0" fontId="3" fillId="3" borderId="0" xfId="0" applyFont="1" applyFill="1" applyAlignment="1">
      <alignment horizontal="right" wrapText="1"/>
    </xf>
    <xf numFmtId="167" fontId="0" fillId="4" borderId="0" xfId="2" applyNumberFormat="1" applyFont="1" applyFill="1" applyBorder="1"/>
    <xf numFmtId="167" fontId="0" fillId="0" borderId="0" xfId="2" applyNumberFormat="1" applyFont="1" applyBorder="1"/>
    <xf numFmtId="165" fontId="0" fillId="0" borderId="0" xfId="2" applyFont="1"/>
    <xf numFmtId="164" fontId="0" fillId="4" borderId="0" xfId="4" applyFont="1" applyFill="1" applyAlignment="1">
      <alignment horizontal="right"/>
    </xf>
    <xf numFmtId="164" fontId="0" fillId="0" borderId="0" xfId="4" applyFont="1" applyAlignment="1">
      <alignment horizontal="right"/>
    </xf>
    <xf numFmtId="168" fontId="0" fillId="4" borderId="0" xfId="3" applyNumberFormat="1" applyFont="1" applyFill="1" applyAlignment="1">
      <alignment horizontal="right"/>
    </xf>
    <xf numFmtId="168" fontId="0" fillId="0" borderId="0" xfId="3" applyNumberFormat="1" applyFont="1" applyAlignment="1">
      <alignment horizontal="right"/>
    </xf>
    <xf numFmtId="0" fontId="13" fillId="0" borderId="0" xfId="0" applyFont="1"/>
    <xf numFmtId="166" fontId="0" fillId="0" borderId="0" xfId="2" applyNumberFormat="1" applyFont="1" applyAlignment="1">
      <alignment horizontal="left"/>
    </xf>
    <xf numFmtId="166" fontId="0" fillId="4" borderId="0" xfId="2" applyNumberFormat="1" applyFont="1" applyFill="1" applyAlignment="1">
      <alignment horizontal="left"/>
    </xf>
    <xf numFmtId="168" fontId="3" fillId="3" borderId="0" xfId="0" applyNumberFormat="1" applyFont="1" applyFill="1" applyAlignment="1">
      <alignment horizontal="right"/>
    </xf>
    <xf numFmtId="168" fontId="0" fillId="0" borderId="0" xfId="0" applyNumberFormat="1"/>
    <xf numFmtId="168" fontId="0" fillId="4" borderId="2" xfId="3" applyNumberFormat="1" applyFont="1" applyFill="1" applyBorder="1" applyAlignment="1">
      <alignment horizontal="right"/>
    </xf>
    <xf numFmtId="168" fontId="0" fillId="0" borderId="0" xfId="3" applyNumberFormat="1" applyFont="1" applyBorder="1" applyAlignment="1">
      <alignment horizontal="right"/>
    </xf>
    <xf numFmtId="168" fontId="0" fillId="4" borderId="0" xfId="3" applyNumberFormat="1" applyFont="1" applyFill="1" applyBorder="1" applyAlignment="1">
      <alignment horizontal="right"/>
    </xf>
    <xf numFmtId="0" fontId="3" fillId="6" borderId="4" xfId="0" applyFont="1" applyFill="1" applyBorder="1" applyAlignment="1">
      <alignment horizontal="center"/>
    </xf>
    <xf numFmtId="3" fontId="0" fillId="7" borderId="5" xfId="3" applyNumberFormat="1" applyFont="1" applyFill="1" applyBorder="1" applyAlignment="1">
      <alignment horizontal="right"/>
    </xf>
    <xf numFmtId="3" fontId="0" fillId="7" borderId="5" xfId="0" applyNumberFormat="1" applyFont="1" applyFill="1" applyBorder="1" applyAlignment="1">
      <alignment horizontal="right"/>
    </xf>
    <xf numFmtId="3" fontId="0" fillId="0" borderId="1" xfId="3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3" fillId="6" borderId="5" xfId="0" applyFont="1" applyFill="1" applyBorder="1" applyAlignment="1">
      <alignment horizontal="right"/>
    </xf>
    <xf numFmtId="0" fontId="4" fillId="7" borderId="4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167" fontId="0" fillId="7" borderId="5" xfId="2" applyNumberFormat="1" applyFont="1" applyFill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7" fontId="3" fillId="6" borderId="5" xfId="0" applyNumberFormat="1" applyFont="1" applyFill="1" applyBorder="1" applyAlignment="1">
      <alignment horizontal="right"/>
    </xf>
    <xf numFmtId="9" fontId="3" fillId="6" borderId="5" xfId="3" applyNumberFormat="1" applyFont="1" applyFill="1" applyBorder="1" applyAlignment="1">
      <alignment horizontal="right"/>
    </xf>
    <xf numFmtId="167" fontId="3" fillId="6" borderId="5" xfId="3" applyNumberFormat="1" applyFont="1" applyFill="1" applyBorder="1" applyAlignment="1">
      <alignment horizontal="right"/>
    </xf>
    <xf numFmtId="168" fontId="0" fillId="0" borderId="1" xfId="3" applyNumberFormat="1" applyFont="1" applyBorder="1" applyAlignment="1">
      <alignment horizontal="right"/>
    </xf>
    <xf numFmtId="168" fontId="0" fillId="7" borderId="5" xfId="3" applyNumberFormat="1" applyFont="1" applyFill="1" applyBorder="1" applyAlignment="1">
      <alignment horizontal="right"/>
    </xf>
    <xf numFmtId="165" fontId="0" fillId="7" borderId="5" xfId="2" applyNumberFormat="1" applyFont="1" applyFill="1" applyBorder="1" applyAlignment="1">
      <alignment horizontal="right"/>
    </xf>
    <xf numFmtId="165" fontId="0" fillId="0" borderId="1" xfId="2" applyNumberFormat="1" applyFont="1" applyBorder="1" applyAlignment="1">
      <alignment horizontal="right"/>
    </xf>
    <xf numFmtId="169" fontId="0" fillId="7" borderId="5" xfId="2" applyNumberFormat="1" applyFont="1" applyFill="1" applyBorder="1" applyAlignment="1">
      <alignment horizontal="right"/>
    </xf>
    <xf numFmtId="169" fontId="0" fillId="0" borderId="1" xfId="2" applyNumberFormat="1" applyFont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14" fillId="0" borderId="0" xfId="0" applyFont="1"/>
    <xf numFmtId="0" fontId="15" fillId="2" borderId="0" xfId="0" applyFont="1" applyFill="1"/>
    <xf numFmtId="0" fontId="4" fillId="4" borderId="0" xfId="0" applyNumberFormat="1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right"/>
    </xf>
    <xf numFmtId="168" fontId="13" fillId="0" borderId="0" xfId="3" applyNumberFormat="1" applyFont="1"/>
    <xf numFmtId="168" fontId="13" fillId="0" borderId="0" xfId="0" applyNumberFormat="1" applyFont="1"/>
    <xf numFmtId="0" fontId="13" fillId="0" borderId="0" xfId="0" applyNumberFormat="1" applyFont="1"/>
    <xf numFmtId="0" fontId="13" fillId="0" borderId="0" xfId="0" applyFont="1" applyAlignment="1">
      <alignment horizontal="left"/>
    </xf>
    <xf numFmtId="0" fontId="13" fillId="0" borderId="0" xfId="0" applyFont="1" applyFill="1"/>
    <xf numFmtId="0" fontId="3" fillId="3" borderId="0" xfId="0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3" fontId="0" fillId="0" borderId="0" xfId="2" applyNumberFormat="1" applyFont="1" applyAlignment="1">
      <alignment horizontal="center" vertical="center"/>
    </xf>
    <xf numFmtId="3" fontId="0" fillId="4" borderId="0" xfId="2" applyNumberFormat="1" applyFont="1" applyFill="1" applyAlignment="1">
      <alignment horizontal="center" vertical="center"/>
    </xf>
    <xf numFmtId="3" fontId="3" fillId="3" borderId="0" xfId="2" applyNumberFormat="1" applyFont="1" applyFill="1" applyAlignment="1">
      <alignment horizontal="center" vertical="center"/>
    </xf>
    <xf numFmtId="0" fontId="4" fillId="8" borderId="0" xfId="0" applyFont="1" applyFill="1" applyBorder="1"/>
    <xf numFmtId="1" fontId="16" fillId="8" borderId="0" xfId="2" applyNumberFormat="1" applyFont="1" applyFill="1" applyBorder="1" applyAlignment="1">
      <alignment horizontal="center"/>
    </xf>
    <xf numFmtId="0" fontId="4" fillId="9" borderId="0" xfId="0" applyFont="1" applyFill="1" applyBorder="1"/>
    <xf numFmtId="1" fontId="16" fillId="0" borderId="0" xfId="2" applyNumberFormat="1" applyFont="1" applyBorder="1" applyAlignment="1">
      <alignment horizontal="center"/>
    </xf>
    <xf numFmtId="0" fontId="16" fillId="0" borderId="7" xfId="0" applyFont="1" applyBorder="1" applyAlignment="1">
      <alignment horizontal="right"/>
    </xf>
    <xf numFmtId="0" fontId="16" fillId="8" borderId="7" xfId="0" applyFont="1" applyFill="1" applyBorder="1" applyAlignment="1">
      <alignment horizontal="right"/>
    </xf>
    <xf numFmtId="0" fontId="4" fillId="0" borderId="6" xfId="0" quotePrefix="1" applyFont="1" applyBorder="1" applyAlignment="1">
      <alignment horizontal="left"/>
    </xf>
    <xf numFmtId="2" fontId="3" fillId="3" borderId="0" xfId="0" applyNumberFormat="1" applyFont="1" applyFill="1"/>
    <xf numFmtId="2" fontId="3" fillId="3" borderId="0" xfId="0" applyNumberFormat="1" applyFont="1" applyFill="1" applyAlignment="1">
      <alignment horizontal="right"/>
    </xf>
    <xf numFmtId="10" fontId="3" fillId="6" borderId="5" xfId="0" applyNumberFormat="1" applyFont="1" applyFill="1" applyBorder="1" applyAlignment="1">
      <alignment horizontal="right"/>
    </xf>
    <xf numFmtId="169" fontId="0" fillId="0" borderId="0" xfId="0" applyNumberFormat="1"/>
    <xf numFmtId="170" fontId="0" fillId="0" borderId="0" xfId="0" applyNumberFormat="1"/>
    <xf numFmtId="0" fontId="17" fillId="0" borderId="0" xfId="0" applyFont="1"/>
    <xf numFmtId="171" fontId="0" fillId="0" borderId="0" xfId="0" applyNumberFormat="1"/>
    <xf numFmtId="37" fontId="0" fillId="4" borderId="0" xfId="2" applyNumberFormat="1" applyFont="1" applyFill="1" applyAlignment="1">
      <alignment horizontal="right"/>
    </xf>
    <xf numFmtId="37" fontId="0" fillId="0" borderId="0" xfId="2" applyNumberFormat="1" applyFont="1" applyAlignment="1">
      <alignment horizontal="right"/>
    </xf>
    <xf numFmtId="168" fontId="3" fillId="6" borderId="5" xfId="3" applyNumberFormat="1" applyFont="1" applyFill="1" applyBorder="1" applyAlignment="1">
      <alignment horizontal="right"/>
    </xf>
    <xf numFmtId="167" fontId="13" fillId="0" borderId="0" xfId="0" applyNumberFormat="1" applyFont="1"/>
    <xf numFmtId="165" fontId="0" fillId="0" borderId="0" xfId="0" applyNumberFormat="1"/>
    <xf numFmtId="9" fontId="13" fillId="0" borderId="0" xfId="3" applyFont="1"/>
    <xf numFmtId="166" fontId="0" fillId="0" borderId="0" xfId="0" applyNumberFormat="1"/>
    <xf numFmtId="168" fontId="0" fillId="4" borderId="0" xfId="3" applyNumberFormat="1" applyFont="1" applyFill="1" applyBorder="1"/>
    <xf numFmtId="168" fontId="0" fillId="0" borderId="0" xfId="3" applyNumberFormat="1" applyFont="1" applyBorder="1"/>
    <xf numFmtId="2" fontId="0" fillId="0" borderId="0" xfId="0" applyNumberFormat="1"/>
    <xf numFmtId="172" fontId="0" fillId="4" borderId="0" xfId="4" applyNumberFormat="1" applyFont="1" applyFill="1" applyAlignment="1">
      <alignment horizontal="right"/>
    </xf>
    <xf numFmtId="172" fontId="0" fillId="0" borderId="0" xfId="4" applyNumberFormat="1" applyFont="1" applyAlignment="1">
      <alignment horizontal="right"/>
    </xf>
    <xf numFmtId="10" fontId="13" fillId="0" borderId="0" xfId="0" applyNumberFormat="1" applyFont="1"/>
    <xf numFmtId="168" fontId="17" fillId="0" borderId="0" xfId="3" applyNumberFormat="1" applyFont="1"/>
    <xf numFmtId="17" fontId="4" fillId="4" borderId="0" xfId="0" applyNumberFormat="1" applyFont="1" applyFill="1" applyAlignment="1">
      <alignment horizontal="left"/>
    </xf>
    <xf numFmtId="17" fontId="4" fillId="0" borderId="0" xfId="0" applyNumberFormat="1" applyFont="1" applyAlignment="1">
      <alignment horizontal="left"/>
    </xf>
    <xf numFmtId="37" fontId="0" fillId="4" borderId="0" xfId="4" applyNumberFormat="1" applyFont="1" applyFill="1" applyAlignment="1">
      <alignment horizontal="right"/>
    </xf>
    <xf numFmtId="37" fontId="0" fillId="0" borderId="0" xfId="4" applyNumberFormat="1" applyFont="1" applyAlignment="1">
      <alignment horizontal="right"/>
    </xf>
    <xf numFmtId="170" fontId="0" fillId="4" borderId="0" xfId="4" applyNumberFormat="1" applyFont="1" applyFill="1" applyAlignment="1">
      <alignment horizontal="right"/>
    </xf>
    <xf numFmtId="170" fontId="0" fillId="0" borderId="0" xfId="4" applyNumberFormat="1" applyFont="1" applyAlignment="1">
      <alignment horizontal="right"/>
    </xf>
    <xf numFmtId="0" fontId="4" fillId="0" borderId="0" xfId="0" applyFont="1" applyAlignment="1"/>
    <xf numFmtId="0" fontId="3" fillId="3" borderId="0" xfId="0" quotePrefix="1" applyFont="1" applyFill="1" applyAlignment="1">
      <alignment horizontal="right"/>
    </xf>
    <xf numFmtId="166" fontId="0" fillId="7" borderId="5" xfId="2" applyNumberFormat="1" applyFont="1" applyFill="1" applyBorder="1" applyAlignment="1">
      <alignment horizontal="right"/>
    </xf>
    <xf numFmtId="166" fontId="0" fillId="0" borderId="1" xfId="2" applyNumberFormat="1" applyFont="1" applyBorder="1" applyAlignment="1">
      <alignment horizontal="right"/>
    </xf>
    <xf numFmtId="0" fontId="1" fillId="0" borderId="0" xfId="1" applyAlignment="1" applyProtection="1"/>
    <xf numFmtId="166" fontId="13" fillId="0" borderId="0" xfId="0" applyNumberFormat="1" applyFont="1"/>
    <xf numFmtId="167" fontId="2" fillId="0" borderId="8" xfId="2" applyNumberFormat="1" applyFont="1" applyFill="1" applyBorder="1"/>
    <xf numFmtId="167" fontId="2" fillId="0" borderId="9" xfId="2" applyNumberFormat="1" applyFont="1" applyFill="1" applyBorder="1"/>
    <xf numFmtId="168" fontId="3" fillId="3" borderId="0" xfId="3" applyNumberFormat="1" applyFont="1" applyFill="1" applyAlignment="1">
      <alignment horizontal="right"/>
    </xf>
    <xf numFmtId="3" fontId="0" fillId="0" borderId="0" xfId="2" applyNumberFormat="1" applyFont="1"/>
    <xf numFmtId="3" fontId="0" fillId="4" borderId="0" xfId="2" applyNumberFormat="1" applyFont="1" applyFill="1"/>
    <xf numFmtId="0" fontId="4" fillId="4" borderId="0" xfId="0" quotePrefix="1" applyFont="1" applyFill="1" applyAlignment="1">
      <alignment horizontal="left"/>
    </xf>
    <xf numFmtId="0" fontId="4" fillId="0" borderId="0" xfId="0" quotePrefix="1" applyFont="1" applyAlignment="1">
      <alignment horizontal="left"/>
    </xf>
    <xf numFmtId="168" fontId="17" fillId="0" borderId="0" xfId="3" applyNumberFormat="1" applyFont="1" applyAlignment="1">
      <alignment horizontal="left"/>
    </xf>
    <xf numFmtId="0" fontId="4" fillId="7" borderId="4" xfId="0" quotePrefix="1" applyFont="1" applyFill="1" applyBorder="1" applyAlignment="1">
      <alignment horizontal="left"/>
    </xf>
    <xf numFmtId="0" fontId="3" fillId="6" borderId="0" xfId="0" applyFont="1" applyFill="1" applyBorder="1" applyAlignment="1">
      <alignment horizontal="right"/>
    </xf>
    <xf numFmtId="0" fontId="4" fillId="10" borderId="4" xfId="0" applyFont="1" applyFill="1" applyBorder="1" applyAlignment="1">
      <alignment horizontal="left"/>
    </xf>
    <xf numFmtId="9" fontId="0" fillId="7" borderId="5" xfId="3" applyNumberFormat="1" applyFont="1" applyFill="1" applyBorder="1" applyAlignment="1">
      <alignment horizontal="right"/>
    </xf>
    <xf numFmtId="9" fontId="0" fillId="0" borderId="1" xfId="3" applyNumberFormat="1" applyFont="1" applyBorder="1" applyAlignment="1">
      <alignment horizontal="right"/>
    </xf>
    <xf numFmtId="0" fontId="3" fillId="6" borderId="5" xfId="0" quotePrefix="1" applyFont="1" applyFill="1" applyBorder="1" applyAlignment="1">
      <alignment horizontal="right"/>
    </xf>
    <xf numFmtId="9" fontId="0" fillId="0" borderId="0" xfId="3" applyFont="1"/>
    <xf numFmtId="0" fontId="19" fillId="0" borderId="0" xfId="1" applyFont="1" applyAlignment="1" applyProtection="1"/>
    <xf numFmtId="173" fontId="13" fillId="0" borderId="0" xfId="0" applyNumberFormat="1" applyFont="1"/>
    <xf numFmtId="0" fontId="3" fillId="3" borderId="0" xfId="0" applyFont="1" applyFill="1" applyBorder="1" applyAlignment="1">
      <alignment horizontal="right"/>
    </xf>
    <xf numFmtId="0" fontId="16" fillId="8" borderId="0" xfId="0" applyFont="1" applyFill="1" applyBorder="1" applyAlignment="1">
      <alignment horizontal="right"/>
    </xf>
    <xf numFmtId="0" fontId="16" fillId="0" borderId="0" xfId="0" applyFont="1" applyBorder="1" applyAlignment="1">
      <alignment horizontal="right"/>
    </xf>
    <xf numFmtId="173" fontId="0" fillId="4" borderId="0" xfId="2" applyNumberFormat="1" applyFont="1" applyFill="1" applyAlignment="1">
      <alignment horizontal="right"/>
    </xf>
    <xf numFmtId="173" fontId="0" fillId="4" borderId="0" xfId="2" applyNumberFormat="1" applyFont="1" applyFill="1"/>
    <xf numFmtId="173" fontId="0" fillId="0" borderId="0" xfId="2" applyNumberFormat="1" applyFont="1" applyAlignment="1">
      <alignment horizontal="right"/>
    </xf>
    <xf numFmtId="173" fontId="0" fillId="0" borderId="0" xfId="2" applyNumberFormat="1" applyFont="1"/>
    <xf numFmtId="173" fontId="3" fillId="3" borderId="0" xfId="0" applyNumberFormat="1" applyFont="1" applyFill="1"/>
    <xf numFmtId="173" fontId="3" fillId="3" borderId="0" xfId="0" applyNumberFormat="1" applyFont="1" applyFill="1" applyAlignment="1">
      <alignment horizontal="right"/>
    </xf>
    <xf numFmtId="9" fontId="17" fillId="0" borderId="0" xfId="3" applyFont="1"/>
    <xf numFmtId="9" fontId="17" fillId="0" borderId="0" xfId="3" applyNumberFormat="1" applyFont="1"/>
    <xf numFmtId="168" fontId="3" fillId="5" borderId="0" xfId="0" applyNumberFormat="1" applyFont="1" applyFill="1" applyAlignment="1">
      <alignment horizontal="right"/>
    </xf>
    <xf numFmtId="1" fontId="3" fillId="3" borderId="0" xfId="2" applyNumberFormat="1" applyFont="1" applyFill="1" applyAlignment="1">
      <alignment horizontal="right"/>
    </xf>
    <xf numFmtId="1" fontId="16" fillId="8" borderId="0" xfId="2" applyNumberFormat="1" applyFont="1" applyFill="1" applyBorder="1" applyAlignment="1">
      <alignment horizontal="right"/>
    </xf>
    <xf numFmtId="1" fontId="16" fillId="0" borderId="0" xfId="2" applyNumberFormat="1" applyFont="1" applyBorder="1" applyAlignment="1">
      <alignment horizontal="right"/>
    </xf>
    <xf numFmtId="3" fontId="17" fillId="7" borderId="5" xfId="3" applyNumberFormat="1" applyFont="1" applyFill="1" applyBorder="1" applyAlignment="1">
      <alignment horizontal="right"/>
    </xf>
    <xf numFmtId="9" fontId="13" fillId="0" borderId="0" xfId="3" applyNumberFormat="1" applyFont="1"/>
    <xf numFmtId="0" fontId="4" fillId="4" borderId="2" xfId="0" applyFont="1" applyFill="1" applyBorder="1" applyAlignment="1">
      <alignment horizontal="left"/>
    </xf>
    <xf numFmtId="167" fontId="0" fillId="4" borderId="2" xfId="2" applyNumberFormat="1" applyFont="1" applyFill="1" applyBorder="1"/>
    <xf numFmtId="1" fontId="0" fillId="0" borderId="0" xfId="0" applyNumberFormat="1"/>
    <xf numFmtId="37" fontId="17" fillId="0" borderId="0" xfId="2" applyNumberFormat="1" applyFont="1" applyAlignment="1">
      <alignment horizontal="right"/>
    </xf>
    <xf numFmtId="0" fontId="18" fillId="0" borderId="0" xfId="0" applyFont="1" applyAlignment="1">
      <alignment horizontal="left"/>
    </xf>
    <xf numFmtId="174" fontId="0" fillId="4" borderId="0" xfId="4" applyNumberFormat="1" applyFont="1" applyFill="1" applyAlignment="1">
      <alignment horizontal="right"/>
    </xf>
    <xf numFmtId="174" fontId="0" fillId="0" borderId="0" xfId="4" applyNumberFormat="1" applyFont="1" applyAlignment="1">
      <alignment horizontal="right"/>
    </xf>
    <xf numFmtId="175" fontId="0" fillId="0" borderId="0" xfId="0" applyNumberFormat="1"/>
    <xf numFmtId="168" fontId="13" fillId="0" borderId="0" xfId="3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right"/>
    </xf>
    <xf numFmtId="167" fontId="0" fillId="4" borderId="0" xfId="2" applyNumberFormat="1" applyFont="1" applyFill="1" applyAlignment="1">
      <alignment horizontal="right"/>
    </xf>
    <xf numFmtId="9" fontId="0" fillId="0" borderId="0" xfId="3" applyFont="1" applyAlignment="1">
      <alignment horizontal="right"/>
    </xf>
    <xf numFmtId="9" fontId="0" fillId="4" borderId="0" xfId="3" applyFont="1" applyFill="1" applyAlignment="1">
      <alignment horizontal="right"/>
    </xf>
    <xf numFmtId="176" fontId="0" fillId="0" borderId="0" xfId="4" applyNumberFormat="1" applyFont="1" applyAlignment="1">
      <alignment horizontal="right"/>
    </xf>
    <xf numFmtId="176" fontId="0" fillId="4" borderId="0" xfId="4" applyNumberFormat="1" applyFont="1" applyFill="1" applyAlignment="1">
      <alignment horizontal="right"/>
    </xf>
    <xf numFmtId="177" fontId="0" fillId="4" borderId="0" xfId="4" applyNumberFormat="1" applyFont="1" applyFill="1" applyAlignment="1">
      <alignment horizontal="right"/>
    </xf>
    <xf numFmtId="177" fontId="0" fillId="0" borderId="0" xfId="4" applyNumberFormat="1" applyFont="1" applyAlignment="1">
      <alignment horizontal="right"/>
    </xf>
    <xf numFmtId="177" fontId="0" fillId="4" borderId="2" xfId="4" applyNumberFormat="1" applyFont="1" applyFill="1" applyBorder="1" applyAlignment="1">
      <alignment horizontal="right"/>
    </xf>
    <xf numFmtId="177" fontId="0" fillId="0" borderId="0" xfId="4" applyNumberFormat="1" applyFont="1" applyBorder="1" applyAlignment="1">
      <alignment horizontal="right"/>
    </xf>
    <xf numFmtId="177" fontId="0" fillId="4" borderId="0" xfId="4" applyNumberFormat="1" applyFont="1" applyFill="1" applyBorder="1" applyAlignment="1">
      <alignment horizontal="right"/>
    </xf>
    <xf numFmtId="172" fontId="0" fillId="4" borderId="2" xfId="4" applyNumberFormat="1" applyFont="1" applyFill="1" applyBorder="1" applyAlignment="1">
      <alignment horizontal="right"/>
    </xf>
    <xf numFmtId="172" fontId="0" fillId="0" borderId="0" xfId="4" applyNumberFormat="1" applyFont="1" applyBorder="1" applyAlignment="1">
      <alignment horizontal="right"/>
    </xf>
    <xf numFmtId="172" fontId="0" fillId="4" borderId="0" xfId="4" applyNumberFormat="1" applyFont="1" applyFill="1" applyBorder="1" applyAlignment="1">
      <alignment horizontal="right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20" fillId="12" borderId="11" xfId="0" applyNumberFormat="1" applyFont="1" applyFill="1" applyBorder="1" applyAlignment="1">
      <alignment horizontal="right"/>
    </xf>
    <xf numFmtId="1" fontId="16" fillId="8" borderId="7" xfId="0" applyNumberFormat="1" applyFont="1" applyFill="1" applyBorder="1" applyAlignment="1">
      <alignment horizontal="right"/>
    </xf>
    <xf numFmtId="0" fontId="0" fillId="0" borderId="0" xfId="0"/>
    <xf numFmtId="2" fontId="13" fillId="0" borderId="0" xfId="0" applyNumberFormat="1" applyFont="1" applyAlignment="1">
      <alignment horizontal="right"/>
    </xf>
    <xf numFmtId="0" fontId="13" fillId="0" borderId="0" xfId="0" applyNumberFormat="1" applyFont="1" applyAlignment="1">
      <alignment horizontal="right"/>
    </xf>
    <xf numFmtId="173" fontId="0" fillId="0" borderId="0" xfId="0" applyNumberFormat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168" fontId="0" fillId="4" borderId="0" xfId="3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168" fontId="0" fillId="0" borderId="0" xfId="3" applyNumberFormat="1" applyFont="1" applyAlignment="1">
      <alignment vertical="center"/>
    </xf>
    <xf numFmtId="0" fontId="0" fillId="0" borderId="0" xfId="0"/>
    <xf numFmtId="167" fontId="13" fillId="0" borderId="0" xfId="2" applyNumberFormat="1" applyFont="1"/>
    <xf numFmtId="1" fontId="13" fillId="0" borderId="0" xfId="0" applyNumberFormat="1" applyFont="1"/>
    <xf numFmtId="0" fontId="0" fillId="0" borderId="0" xfId="0"/>
    <xf numFmtId="0" fontId="0" fillId="13" borderId="0" xfId="0" applyFill="1"/>
    <xf numFmtId="0" fontId="18" fillId="11" borderId="10" xfId="7" applyFont="1" applyBorder="1" applyAlignment="1">
      <alignment vertical="center" wrapText="1"/>
    </xf>
    <xf numFmtId="0" fontId="0" fillId="14" borderId="0" xfId="0" applyFill="1"/>
    <xf numFmtId="0" fontId="0" fillId="15" borderId="0" xfId="0" applyFill="1"/>
    <xf numFmtId="0" fontId="0" fillId="0" borderId="0" xfId="0"/>
    <xf numFmtId="3" fontId="13" fillId="3" borderId="0" xfId="2" applyNumberFormat="1" applyFont="1" applyFill="1"/>
    <xf numFmtId="0" fontId="0" fillId="0" borderId="0" xfId="0"/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quotePrefix="1"/>
    <xf numFmtId="169" fontId="0" fillId="0" borderId="0" xfId="0" quotePrefix="1" applyNumberFormat="1"/>
    <xf numFmtId="0" fontId="4" fillId="7" borderId="12" xfId="0" quotePrefix="1" applyFont="1" applyFill="1" applyBorder="1" applyAlignment="1">
      <alignment horizontal="left"/>
    </xf>
    <xf numFmtId="169" fontId="0" fillId="7" borderId="13" xfId="2" applyNumberFormat="1" applyFont="1" applyFill="1" applyBorder="1" applyAlignment="1">
      <alignment horizontal="right"/>
    </xf>
    <xf numFmtId="165" fontId="0" fillId="7" borderId="13" xfId="2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169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4" fillId="7" borderId="14" xfId="0" quotePrefix="1" applyFont="1" applyFill="1" applyBorder="1" applyAlignment="1">
      <alignment horizontal="left"/>
    </xf>
    <xf numFmtId="169" fontId="0" fillId="7" borderId="0" xfId="2" applyNumberFormat="1" applyFont="1" applyFill="1" applyBorder="1" applyAlignment="1">
      <alignment horizontal="right"/>
    </xf>
    <xf numFmtId="165" fontId="0" fillId="7" borderId="0" xfId="2" applyNumberFormat="1" applyFont="1" applyFill="1" applyBorder="1" applyAlignment="1">
      <alignment horizontal="right"/>
    </xf>
    <xf numFmtId="168" fontId="17" fillId="7" borderId="5" xfId="3" applyNumberFormat="1" applyFont="1" applyFill="1" applyBorder="1" applyAlignment="1">
      <alignment horizontal="right"/>
    </xf>
    <xf numFmtId="168" fontId="17" fillId="0" borderId="1" xfId="3" applyNumberFormat="1" applyFont="1" applyBorder="1" applyAlignment="1">
      <alignment horizontal="right"/>
    </xf>
    <xf numFmtId="3" fontId="0" fillId="0" borderId="0" xfId="0" applyNumberFormat="1"/>
    <xf numFmtId="168" fontId="17" fillId="0" borderId="0" xfId="3" applyNumberFormat="1" applyFont="1" applyAlignment="1">
      <alignment horizontal="right"/>
    </xf>
    <xf numFmtId="168" fontId="13" fillId="0" borderId="0" xfId="0" applyNumberFormat="1" applyFont="1" applyAlignment="1">
      <alignment horizontal="right"/>
    </xf>
    <xf numFmtId="168" fontId="17" fillId="0" borderId="0" xfId="0" applyNumberFormat="1" applyFont="1"/>
    <xf numFmtId="0" fontId="0" fillId="0" borderId="0" xfId="0"/>
    <xf numFmtId="0" fontId="0" fillId="0" borderId="0" xfId="0"/>
    <xf numFmtId="167" fontId="0" fillId="0" borderId="8" xfId="2" applyNumberFormat="1" applyFont="1" applyFill="1" applyBorder="1" applyAlignment="1">
      <alignment horizontal="left"/>
    </xf>
    <xf numFmtId="167" fontId="2" fillId="0" borderId="8" xfId="2" applyNumberFormat="1" applyFont="1" applyFill="1" applyBorder="1" applyAlignment="1">
      <alignment horizontal="left"/>
    </xf>
    <xf numFmtId="167" fontId="0" fillId="0" borderId="9" xfId="0" applyNumberFormat="1" applyFont="1" applyFill="1" applyBorder="1" applyAlignment="1">
      <alignment horizontal="left"/>
    </xf>
    <xf numFmtId="167" fontId="2" fillId="0" borderId="9" xfId="2" applyNumberFormat="1" applyFont="1" applyFill="1" applyBorder="1" applyAlignment="1">
      <alignment horizontal="left"/>
    </xf>
    <xf numFmtId="167" fontId="3" fillId="3" borderId="0" xfId="0" applyNumberFormat="1" applyFont="1" applyFill="1"/>
    <xf numFmtId="17" fontId="4" fillId="5" borderId="0" xfId="0" applyNumberFormat="1" applyFont="1" applyFill="1" applyAlignment="1">
      <alignment vertical="center"/>
    </xf>
    <xf numFmtId="17" fontId="4" fillId="4" borderId="0" xfId="0" applyNumberFormat="1" applyFont="1" applyFill="1" applyAlignment="1">
      <alignment vertical="center"/>
    </xf>
    <xf numFmtId="17" fontId="4" fillId="0" borderId="0" xfId="0" applyNumberFormat="1" applyFont="1" applyAlignment="1">
      <alignment vertical="center"/>
    </xf>
    <xf numFmtId="17" fontId="4" fillId="5" borderId="0" xfId="0" applyNumberFormat="1" applyFont="1" applyFill="1" applyAlignment="1">
      <alignment vertical="center"/>
    </xf>
    <xf numFmtId="17" fontId="4" fillId="4" borderId="0" xfId="0" applyNumberFormat="1" applyFont="1" applyFill="1" applyAlignment="1">
      <alignment vertical="center"/>
    </xf>
    <xf numFmtId="17" fontId="4" fillId="0" borderId="0" xfId="0" applyNumberFormat="1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0" fillId="0" borderId="0" xfId="0"/>
    <xf numFmtId="17" fontId="4" fillId="5" borderId="0" xfId="0" applyNumberFormat="1" applyFont="1" applyFill="1" applyAlignment="1">
      <alignment vertical="center"/>
    </xf>
    <xf numFmtId="17" fontId="4" fillId="4" borderId="0" xfId="0" applyNumberFormat="1" applyFont="1" applyFill="1" applyAlignment="1">
      <alignment vertical="center"/>
    </xf>
    <xf numFmtId="17" fontId="4" fillId="0" borderId="0" xfId="0" applyNumberFormat="1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0" xfId="3" applyNumberFormat="1" applyFont="1" applyFill="1" applyAlignment="1">
      <alignment horizontal="right"/>
    </xf>
    <xf numFmtId="0" fontId="0" fillId="0" borderId="0" xfId="3" applyNumberFormat="1" applyFont="1" applyAlignment="1">
      <alignment horizontal="right"/>
    </xf>
    <xf numFmtId="0" fontId="0" fillId="4" borderId="2" xfId="3" applyNumberFormat="1" applyFont="1" applyFill="1" applyBorder="1" applyAlignment="1">
      <alignment horizontal="right"/>
    </xf>
    <xf numFmtId="0" fontId="0" fillId="0" borderId="0" xfId="3" applyNumberFormat="1" applyFont="1" applyBorder="1" applyAlignment="1">
      <alignment horizontal="right"/>
    </xf>
    <xf numFmtId="0" fontId="0" fillId="4" borderId="0" xfId="3" applyNumberFormat="1" applyFont="1" applyFill="1" applyBorder="1" applyAlignment="1">
      <alignment horizontal="right"/>
    </xf>
    <xf numFmtId="167" fontId="13" fillId="0" borderId="0" xfId="2" applyNumberFormat="1" applyFont="1" applyFill="1" applyBorder="1" applyAlignment="1">
      <alignment horizontal="left"/>
    </xf>
    <xf numFmtId="0" fontId="0" fillId="0" borderId="0" xfId="0"/>
    <xf numFmtId="166" fontId="0" fillId="4" borderId="0" xfId="2" applyNumberFormat="1" applyFont="1" applyFill="1" applyAlignment="1">
      <alignment horizontal="right"/>
    </xf>
    <xf numFmtId="166" fontId="0" fillId="0" borderId="0" xfId="2" applyNumberFormat="1" applyFont="1" applyAlignment="1">
      <alignment horizontal="right"/>
    </xf>
    <xf numFmtId="168" fontId="22" fillId="0" borderId="0" xfId="3" applyNumberFormat="1" applyFont="1"/>
    <xf numFmtId="166" fontId="21" fillId="0" borderId="0" xfId="2" applyNumberFormat="1" applyFont="1" applyAlignment="1">
      <alignment horizontal="right"/>
    </xf>
    <xf numFmtId="0" fontId="0" fillId="0" borderId="0" xfId="0"/>
    <xf numFmtId="0" fontId="0" fillId="0" borderId="0" xfId="0"/>
    <xf numFmtId="0" fontId="18" fillId="0" borderId="0" xfId="0" applyFont="1" applyAlignment="1"/>
    <xf numFmtId="9" fontId="0" fillId="4" borderId="0" xfId="3" applyFont="1" applyFill="1"/>
    <xf numFmtId="9" fontId="3" fillId="3" borderId="0" xfId="3" applyFont="1" applyFill="1" applyAlignment="1">
      <alignment horizontal="right"/>
    </xf>
    <xf numFmtId="10" fontId="17" fillId="0" borderId="0" xfId="3" applyNumberFormat="1" applyFont="1"/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4" fillId="7" borderId="0" xfId="0" applyFont="1" applyFill="1"/>
    <xf numFmtId="0" fontId="4" fillId="7" borderId="1" xfId="0" applyFont="1" applyFill="1" applyBorder="1"/>
    <xf numFmtId="0" fontId="0" fillId="16" borderId="0" xfId="0" applyFill="1"/>
    <xf numFmtId="167" fontId="0" fillId="16" borderId="0" xfId="2" applyNumberFormat="1" applyFont="1" applyFill="1"/>
    <xf numFmtId="167" fontId="0" fillId="0" borderId="0" xfId="2" applyNumberFormat="1" applyFont="1" applyAlignment="1">
      <alignment horizontal="right"/>
    </xf>
    <xf numFmtId="0" fontId="0" fillId="0" borderId="0" xfId="0"/>
    <xf numFmtId="0" fontId="4" fillId="7" borderId="5" xfId="2" applyNumberFormat="1" applyFont="1" applyFill="1" applyBorder="1" applyAlignment="1">
      <alignment horizontal="left"/>
    </xf>
    <xf numFmtId="0" fontId="4" fillId="0" borderId="1" xfId="2" applyNumberFormat="1" applyFont="1" applyBorder="1" applyAlignment="1">
      <alignment horizontal="left"/>
    </xf>
    <xf numFmtId="0" fontId="0" fillId="0" borderId="0" xfId="0"/>
    <xf numFmtId="166" fontId="0" fillId="0" borderId="0" xfId="2" quotePrefix="1" applyNumberFormat="1" applyFont="1"/>
    <xf numFmtId="165" fontId="0" fillId="0" borderId="0" xfId="2" applyNumberFormat="1" applyFont="1"/>
    <xf numFmtId="0" fontId="0" fillId="0" borderId="0" xfId="2" applyNumberFormat="1" applyFont="1"/>
    <xf numFmtId="0" fontId="0" fillId="0" borderId="0" xfId="2" applyNumberFormat="1" applyFont="1" applyAlignment="1">
      <alignment horizontal="right"/>
    </xf>
    <xf numFmtId="43" fontId="0" fillId="0" borderId="0" xfId="0" applyNumberFormat="1"/>
    <xf numFmtId="167" fontId="17" fillId="0" borderId="0" xfId="2" applyNumberFormat="1" applyFont="1"/>
    <xf numFmtId="167" fontId="20" fillId="12" borderId="11" xfId="2" applyNumberFormat="1" applyFont="1" applyFill="1" applyBorder="1" applyAlignment="1">
      <alignment horizontal="right"/>
    </xf>
    <xf numFmtId="0" fontId="0" fillId="0" borderId="0" xfId="0"/>
    <xf numFmtId="4" fontId="20" fillId="12" borderId="0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9" fontId="0" fillId="4" borderId="0" xfId="3" applyNumberFormat="1" applyFont="1" applyFill="1"/>
    <xf numFmtId="9" fontId="0" fillId="0" borderId="0" xfId="3" applyNumberFormat="1" applyFont="1"/>
    <xf numFmtId="168" fontId="17" fillId="0" borderId="0" xfId="0" applyNumberFormat="1" applyFont="1" applyAlignment="1">
      <alignment horizontal="right"/>
    </xf>
    <xf numFmtId="169" fontId="17" fillId="0" borderId="0" xfId="0" applyNumberFormat="1" applyFont="1"/>
    <xf numFmtId="0" fontId="17" fillId="0" borderId="0" xfId="0" applyFont="1" applyAlignment="1">
      <alignment horizontal="right"/>
    </xf>
    <xf numFmtId="169" fontId="17" fillId="0" borderId="0" xfId="0" quotePrefix="1" applyNumberFormat="1" applyFont="1"/>
    <xf numFmtId="2" fontId="13" fillId="0" borderId="0" xfId="0" applyNumberFormat="1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8">
    <cellStyle name="60% - Ênfase1" xfId="7" builtinId="32"/>
    <cellStyle name="Hiperlink" xfId="1" builtinId="8"/>
    <cellStyle name="Moeda" xfId="4" builtinId="4"/>
    <cellStyle name="Normal" xfId="0" builtinId="0"/>
    <cellStyle name="Normal 3" xfId="5" xr:uid="{00000000-0005-0000-0000-000004000000}"/>
    <cellStyle name="Porcentagem" xfId="3" builtinId="5"/>
    <cellStyle name="Separador de milhares 2" xfId="6" xr:uid="{00000000-0005-0000-0000-000006000000}"/>
    <cellStyle name="Vírgula" xfId="2" builtinId="3"/>
  </cellStyles>
  <dxfs count="26"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B4B000"/>
      <color rgb="FFF0EA00"/>
      <color rgb="FF8B493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calcChain" Target="calcChain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theme" Target="theme/theme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8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7.xml"/><Relationship Id="rId1" Type="http://schemas.openxmlformats.org/officeDocument/2006/relationships/themeOverride" Target="../theme/themeOverride1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9.xml"/><Relationship Id="rId1" Type="http://schemas.openxmlformats.org/officeDocument/2006/relationships/themeOverride" Target="../theme/themeOverride1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7.xml"/><Relationship Id="rId1" Type="http://schemas.openxmlformats.org/officeDocument/2006/relationships/themeOverride" Target="../theme/themeOverride1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5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0.xml"/><Relationship Id="rId1" Type="http://schemas.openxmlformats.org/officeDocument/2006/relationships/themeOverride" Target="../theme/themeOverride19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5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6.xml"/><Relationship Id="rId1" Type="http://schemas.openxmlformats.org/officeDocument/2006/relationships/themeOverride" Target="../theme/themeOverride2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7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0.xml"/><Relationship Id="rId1" Type="http://schemas.openxmlformats.org/officeDocument/2006/relationships/themeOverride" Target="../theme/themeOverride25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3.xml"/><Relationship Id="rId1" Type="http://schemas.openxmlformats.org/officeDocument/2006/relationships/themeOverride" Target="../theme/themeOverride29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4.xml"/><Relationship Id="rId1" Type="http://schemas.openxmlformats.org/officeDocument/2006/relationships/themeOverride" Target="../theme/themeOverride32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1.1'!$A$6</c:f>
              <c:strCache>
                <c:ptCount val="1"/>
                <c:pt idx="0">
                  <c:v>Pilotos e Co-pilotos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1.1'!$B$6:$G$6</c:f>
              <c:numCache>
                <c:formatCode>_(* #,##0_);_(* \(#,##0\);_(* "-"??_);_(@_)</c:formatCode>
                <c:ptCount val="6"/>
                <c:pt idx="0">
                  <c:v>5331</c:v>
                </c:pt>
                <c:pt idx="1">
                  <c:v>5506</c:v>
                </c:pt>
                <c:pt idx="2">
                  <c:v>5562</c:v>
                </c:pt>
                <c:pt idx="3">
                  <c:v>5212</c:v>
                </c:pt>
                <c:pt idx="4">
                  <c:v>5233</c:v>
                </c:pt>
                <c:pt idx="5">
                  <c:v>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47B-9DD2-173E9F0DF18E}"/>
            </c:ext>
          </c:extLst>
        </c:ser>
        <c:ser>
          <c:idx val="1"/>
          <c:order val="1"/>
          <c:tx>
            <c:strRef>
              <c:f>'Fig 1.1'!$A$7</c:f>
              <c:strCache>
                <c:ptCount val="1"/>
                <c:pt idx="0">
                  <c:v>Outros tripulantes de voo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1.1'!$B$7:$G$7</c:f>
              <c:numCache>
                <c:formatCode>_(* #,##0_);_(* \(#,##0\);_(* "-"??_);_(@_)</c:formatCode>
                <c:ptCount val="6"/>
                <c:pt idx="0">
                  <c:v>36</c:v>
                </c:pt>
                <c:pt idx="1">
                  <c:v>51</c:v>
                </c:pt>
                <c:pt idx="2">
                  <c:v>35</c:v>
                </c:pt>
                <c:pt idx="3">
                  <c:v>40</c:v>
                </c:pt>
                <c:pt idx="4">
                  <c:v>24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8-447B-9DD2-173E9F0DF18E}"/>
            </c:ext>
          </c:extLst>
        </c:ser>
        <c:ser>
          <c:idx val="2"/>
          <c:order val="2"/>
          <c:tx>
            <c:strRef>
              <c:f>'Fig 1.1'!$A$8</c:f>
              <c:strCache>
                <c:ptCount val="1"/>
                <c:pt idx="0">
                  <c:v>Tripulação de Cabine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1.1'!$B$8:$G$8</c:f>
              <c:numCache>
                <c:formatCode>_(* #,##0_);_(* \(#,##0\);_(* "-"??_);_(@_)</c:formatCode>
                <c:ptCount val="6"/>
                <c:pt idx="0">
                  <c:v>10417</c:v>
                </c:pt>
                <c:pt idx="1">
                  <c:v>10517</c:v>
                </c:pt>
                <c:pt idx="2">
                  <c:v>10580</c:v>
                </c:pt>
                <c:pt idx="3">
                  <c:v>9939</c:v>
                </c:pt>
                <c:pt idx="4">
                  <c:v>9887</c:v>
                </c:pt>
                <c:pt idx="5">
                  <c:v>10079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8-447B-9DD2-173E9F0DF18E}"/>
            </c:ext>
          </c:extLst>
        </c:ser>
        <c:ser>
          <c:idx val="3"/>
          <c:order val="3"/>
          <c:tx>
            <c:strRef>
              <c:f>'Fig 1.1'!$A$9</c:f>
              <c:strCache>
                <c:ptCount val="1"/>
                <c:pt idx="0">
                  <c:v>Pessoal de Manutenção e Revisão Geral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1.1'!$B$9:$G$9</c:f>
              <c:numCache>
                <c:formatCode>_(* #,##0_);_(* \(#,##0\);_(* "-"??_);_(@_)</c:formatCode>
                <c:ptCount val="6"/>
                <c:pt idx="0">
                  <c:v>7872</c:v>
                </c:pt>
                <c:pt idx="1">
                  <c:v>8192</c:v>
                </c:pt>
                <c:pt idx="2">
                  <c:v>7498</c:v>
                </c:pt>
                <c:pt idx="3">
                  <c:v>7156</c:v>
                </c:pt>
                <c:pt idx="4">
                  <c:v>7218</c:v>
                </c:pt>
                <c:pt idx="5">
                  <c:v>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8-447B-9DD2-173E9F0DF18E}"/>
            </c:ext>
          </c:extLst>
        </c:ser>
        <c:ser>
          <c:idx val="4"/>
          <c:order val="4"/>
          <c:tx>
            <c:strRef>
              <c:f>'Fig 1.1'!$A$10</c:f>
              <c:strCache>
                <c:ptCount val="1"/>
                <c:pt idx="0">
                  <c:v>Pessoal de Tarifação e Vendas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1.1'!$B$10:$G$10</c:f>
              <c:numCache>
                <c:formatCode>_(* #,##0_);_(* \(#,##0\);_(* "-"??_);_(@_)</c:formatCode>
                <c:ptCount val="6"/>
                <c:pt idx="0">
                  <c:v>10733</c:v>
                </c:pt>
                <c:pt idx="1">
                  <c:v>10564</c:v>
                </c:pt>
                <c:pt idx="2">
                  <c:v>9585</c:v>
                </c:pt>
                <c:pt idx="3">
                  <c:v>6498</c:v>
                </c:pt>
                <c:pt idx="4">
                  <c:v>9293</c:v>
                </c:pt>
                <c:pt idx="5">
                  <c:v>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8-447B-9DD2-173E9F0DF18E}"/>
            </c:ext>
          </c:extLst>
        </c:ser>
        <c:ser>
          <c:idx val="5"/>
          <c:order val="5"/>
          <c:tx>
            <c:strRef>
              <c:f>'Fig 1.1'!$A$11</c:f>
              <c:strCache>
                <c:ptCount val="1"/>
                <c:pt idx="0">
                  <c:v>Outros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1.1'!$B$5:$G$5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'Fig 1.1'!$B$11:$G$11</c:f>
              <c:numCache>
                <c:formatCode>_(* #,##0_);_(* \(#,##0\);_(* "-"??_);_(@_)</c:formatCode>
                <c:ptCount val="6"/>
                <c:pt idx="0">
                  <c:v>21246</c:v>
                </c:pt>
                <c:pt idx="1">
                  <c:v>22169</c:v>
                </c:pt>
                <c:pt idx="2">
                  <c:v>20989</c:v>
                </c:pt>
                <c:pt idx="3">
                  <c:v>21292</c:v>
                </c:pt>
                <c:pt idx="4">
                  <c:v>15438</c:v>
                </c:pt>
                <c:pt idx="5">
                  <c:v>13237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8-447B-9DD2-173E9F0DF1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1250432"/>
        <c:axId val="131248472"/>
      </c:barChart>
      <c:catAx>
        <c:axId val="1312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48472"/>
        <c:crosses val="autoZero"/>
        <c:auto val="1"/>
        <c:lblAlgn val="ctr"/>
        <c:lblOffset val="100"/>
        <c:noMultiLvlLbl val="0"/>
      </c:catAx>
      <c:valAx>
        <c:axId val="13124847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312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2.3'!$B$6:$B$17</c:f>
              <c:numCache>
                <c:formatCode>0.0%</c:formatCode>
                <c:ptCount val="12"/>
                <c:pt idx="0">
                  <c:v>2.4998831284184939E-2</c:v>
                </c:pt>
                <c:pt idx="1">
                  <c:v>2.247997790665562E-2</c:v>
                </c:pt>
                <c:pt idx="2">
                  <c:v>-6.4456950194610408E-3</c:v>
                </c:pt>
                <c:pt idx="3">
                  <c:v>6.2795102668277147E-2</c:v>
                </c:pt>
                <c:pt idx="4">
                  <c:v>4.0575017807420836E-2</c:v>
                </c:pt>
                <c:pt idx="5">
                  <c:v>5.0041587695496256E-2</c:v>
                </c:pt>
                <c:pt idx="6">
                  <c:v>4.8917363134950265E-2</c:v>
                </c:pt>
                <c:pt idx="7">
                  <c:v>2.9167714357555947E-2</c:v>
                </c:pt>
                <c:pt idx="8">
                  <c:v>2.5244523588179069E-2</c:v>
                </c:pt>
                <c:pt idx="9">
                  <c:v>2.6512170977485594E-2</c:v>
                </c:pt>
                <c:pt idx="10">
                  <c:v>8.2853259110622049E-4</c:v>
                </c:pt>
                <c:pt idx="11">
                  <c:v>1.0175354884886079E-2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FA6-45A2-9A7B-3FBD782F1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212128"/>
        <c:axId val="132212520"/>
      </c:barChart>
      <c:catAx>
        <c:axId val="1322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2212520"/>
        <c:crosses val="autoZero"/>
        <c:auto val="1"/>
        <c:lblAlgn val="ctr"/>
        <c:lblOffset val="100"/>
        <c:noMultiLvlLbl val="0"/>
      </c:catAx>
      <c:valAx>
        <c:axId val="13221252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322121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numRef>
              <c:f>'Fig 3.51'!$A$6:$A$15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3.51'!$B$6:$B$15</c:f>
              <c:numCache>
                <c:formatCode>_(* #,##0_);_(* \(#,##0\);_(* "-"??_);_(@_)</c:formatCode>
                <c:ptCount val="10"/>
                <c:pt idx="0">
                  <c:v>102871475</c:v>
                </c:pt>
                <c:pt idx="1">
                  <c:v>95411499</c:v>
                </c:pt>
                <c:pt idx="2">
                  <c:v>166185874</c:v>
                </c:pt>
                <c:pt idx="3">
                  <c:v>148389176</c:v>
                </c:pt>
                <c:pt idx="4">
                  <c:v>179632850</c:v>
                </c:pt>
                <c:pt idx="5">
                  <c:v>174377043</c:v>
                </c:pt>
                <c:pt idx="6">
                  <c:v>180718295</c:v>
                </c:pt>
                <c:pt idx="7">
                  <c:v>183674373</c:v>
                </c:pt>
                <c:pt idx="8">
                  <c:v>226563387</c:v>
                </c:pt>
                <c:pt idx="9">
                  <c:v>281691168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B-4E1D-B952-06557E4DF942}"/>
            </c:ext>
          </c:extLst>
        </c:ser>
        <c:ser>
          <c:idx val="1"/>
          <c:order val="1"/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2359949261217"/>
                </c:manualLayout>
              </c:layout>
              <c:tx>
                <c:rich>
                  <a:bodyPr/>
                  <a:lstStyle/>
                  <a:p>
                    <a:fld id="{265E4710-E5A0-44EC-A99D-4D52C531C6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AB-4E1D-B952-06557E4DF942}"/>
                </c:ext>
              </c:extLst>
            </c:dLbl>
            <c:dLbl>
              <c:idx val="1"/>
              <c:layout>
                <c:manualLayout>
                  <c:x val="0"/>
                  <c:y val="-0.24586998004079574"/>
                </c:manualLayout>
              </c:layout>
              <c:tx>
                <c:rich>
                  <a:bodyPr/>
                  <a:lstStyle/>
                  <a:p>
                    <a:fld id="{E8A3FBA6-98F5-4FBE-B6AC-3A3A8C408B8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AB-4E1D-B952-06557E4DF942}"/>
                </c:ext>
              </c:extLst>
            </c:dLbl>
            <c:dLbl>
              <c:idx val="2"/>
              <c:layout>
                <c:manualLayout>
                  <c:x val="-2.004208838560978E-3"/>
                  <c:y val="-0.29976019710628099"/>
                </c:manualLayout>
              </c:layout>
              <c:tx>
                <c:rich>
                  <a:bodyPr/>
                  <a:lstStyle/>
                  <a:p>
                    <a:fld id="{D38D7AB9-0EA5-494C-8F08-70A68A8923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AB-4E1D-B952-06557E4DF942}"/>
                </c:ext>
              </c:extLst>
            </c:dLbl>
            <c:dLbl>
              <c:idx val="3"/>
              <c:layout>
                <c:manualLayout>
                  <c:x val="0"/>
                  <c:y val="-0.31795926275232311"/>
                </c:manualLayout>
              </c:layout>
              <c:tx>
                <c:rich>
                  <a:bodyPr/>
                  <a:lstStyle/>
                  <a:p>
                    <a:fld id="{28752CA1-3DDE-4931-A008-552507E02B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AB-4E1D-B952-06557E4DF942}"/>
                </c:ext>
              </c:extLst>
            </c:dLbl>
            <c:dLbl>
              <c:idx val="4"/>
              <c:layout>
                <c:manualLayout>
                  <c:x val="0"/>
                  <c:y val="-0.33507482873832972"/>
                </c:manualLayout>
              </c:layout>
              <c:tx>
                <c:rich>
                  <a:bodyPr/>
                  <a:lstStyle/>
                  <a:p>
                    <a:fld id="{DAC9C86E-8CC9-46DD-A76D-090A75EADB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AB-4E1D-B952-06557E4DF942}"/>
                </c:ext>
              </c:extLst>
            </c:dLbl>
            <c:dLbl>
              <c:idx val="5"/>
              <c:layout>
                <c:manualLayout>
                  <c:x val="-2.0042088385610517E-3"/>
                  <c:y val="-0.33966910125092303"/>
                </c:manualLayout>
              </c:layout>
              <c:tx>
                <c:rich>
                  <a:bodyPr/>
                  <a:lstStyle/>
                  <a:p>
                    <a:fld id="{5122C3C4-E1D7-4B17-A140-2DD64CB937A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AB-4E1D-B952-06557E4DF942}"/>
                </c:ext>
              </c:extLst>
            </c:dLbl>
            <c:dLbl>
              <c:idx val="6"/>
              <c:layout>
                <c:manualLayout>
                  <c:x val="0"/>
                  <c:y val="-0.32056017371087669"/>
                </c:manualLayout>
              </c:layout>
              <c:tx>
                <c:rich>
                  <a:bodyPr/>
                  <a:lstStyle/>
                  <a:p>
                    <a:fld id="{9801B5F9-B305-4025-A72D-1D5A1175DB5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AB-4E1D-B952-06557E4DF942}"/>
                </c:ext>
              </c:extLst>
            </c:dLbl>
            <c:dLbl>
              <c:idx val="7"/>
              <c:layout>
                <c:manualLayout>
                  <c:x val="-1.4697361697604001E-16"/>
                  <c:y val="-0.31309265311195433"/>
                </c:manualLayout>
              </c:layout>
              <c:tx>
                <c:rich>
                  <a:bodyPr/>
                  <a:lstStyle/>
                  <a:p>
                    <a:fld id="{C71FFA29-831A-4683-8491-D1F086A1DC2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DAB-4E1D-B952-06557E4DF942}"/>
                </c:ext>
              </c:extLst>
            </c:dLbl>
            <c:dLbl>
              <c:idx val="8"/>
              <c:layout>
                <c:manualLayout>
                  <c:x val="0"/>
                  <c:y val="-0.28863458571856793"/>
                </c:manualLayout>
              </c:layout>
              <c:tx>
                <c:rich>
                  <a:bodyPr/>
                  <a:lstStyle/>
                  <a:p>
                    <a:fld id="{F3F67FA4-7BA3-4344-AD1A-C84FC6DD5A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DAB-4E1D-B952-06557E4DF942}"/>
                </c:ext>
              </c:extLst>
            </c:dLbl>
            <c:dLbl>
              <c:idx val="9"/>
              <c:layout>
                <c:manualLayout>
                  <c:x val="0"/>
                  <c:y val="-0.29378486463565312"/>
                </c:manualLayout>
              </c:layout>
              <c:tx>
                <c:rich>
                  <a:bodyPr/>
                  <a:lstStyle/>
                  <a:p>
                    <a:fld id="{4F37E067-1BC2-4761-895A-A957650D5A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DAB-4E1D-B952-06557E4DF942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'Fig 3.51'!$A$6:$A$15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3.51'!$C$6:$C$15</c:f>
              <c:numCache>
                <c:formatCode>_(* #,##0_);_(* \(#,##0\);_(* "-"??_);_(@_)</c:formatCode>
                <c:ptCount val="10"/>
                <c:pt idx="0">
                  <c:v>378569006</c:v>
                </c:pt>
                <c:pt idx="1">
                  <c:v>561276038</c:v>
                </c:pt>
                <c:pt idx="2">
                  <c:v>572446966</c:v>
                </c:pt>
                <c:pt idx="3">
                  <c:v>615103008</c:v>
                </c:pt>
                <c:pt idx="4">
                  <c:v>635581996</c:v>
                </c:pt>
                <c:pt idx="5">
                  <c:v>632181591</c:v>
                </c:pt>
                <c:pt idx="6">
                  <c:v>582601772</c:v>
                </c:pt>
                <c:pt idx="7">
                  <c:v>544232111</c:v>
                </c:pt>
                <c:pt idx="8">
                  <c:v>591191462</c:v>
                </c:pt>
                <c:pt idx="9">
                  <c:v>651140233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3.51'!$E$6:$E$15</c15:f>
                <c15:dlblRangeCache>
                  <c:ptCount val="10"/>
                  <c:pt idx="0">
                    <c:v> 481 </c:v>
                  </c:pt>
                  <c:pt idx="1">
                    <c:v> 657 </c:v>
                  </c:pt>
                  <c:pt idx="2">
                    <c:v> 739 </c:v>
                  </c:pt>
                  <c:pt idx="3">
                    <c:v> 763 </c:v>
                  </c:pt>
                  <c:pt idx="4">
                    <c:v> 815 </c:v>
                  </c:pt>
                  <c:pt idx="5">
                    <c:v> 807 </c:v>
                  </c:pt>
                  <c:pt idx="6">
                    <c:v> 763 </c:v>
                  </c:pt>
                  <c:pt idx="7">
                    <c:v> 728 </c:v>
                  </c:pt>
                  <c:pt idx="8">
                    <c:v> 818 </c:v>
                  </c:pt>
                  <c:pt idx="9">
                    <c:v> 933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DAB-4E1D-B952-06557E4DF9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509240"/>
        <c:axId val="396515120"/>
      </c:barChart>
      <c:catAx>
        <c:axId val="39650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515120"/>
        <c:crosses val="autoZero"/>
        <c:auto val="1"/>
        <c:lblAlgn val="ctr"/>
        <c:lblOffset val="100"/>
        <c:noMultiLvlLbl val="0"/>
      </c:catAx>
      <c:valAx>
        <c:axId val="39651512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Milhares de Toneladas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96509240"/>
        <c:crosses val="autoZero"/>
        <c:crossBetween val="between"/>
        <c:dispUnits>
          <c:builtInUnit val="ten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Milhares de Toneladas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3.52'!$B$5</c:f>
              <c:strCache>
                <c:ptCount val="1"/>
                <c:pt idx="0">
                  <c:v>Variação na quantidade de carga e correio transportada</c:v>
                </c:pt>
              </c:strCache>
            </c:strRef>
          </c:tx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3.52'!$A$6:$A$15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3.52'!$B$6:$B$15</c:f>
              <c:numCache>
                <c:formatCode>0.0%</c:formatCode>
                <c:ptCount val="10"/>
                <c:pt idx="0">
                  <c:v>-0.18827079686068227</c:v>
                </c:pt>
                <c:pt idx="1">
                  <c:v>0.36400565161449311</c:v>
                </c:pt>
                <c:pt idx="2">
                  <c:v>0.12478583555027938</c:v>
                </c:pt>
                <c:pt idx="3">
                  <c:v>3.3655887815656829E-2</c:v>
                </c:pt>
                <c:pt idx="4">
                  <c:v>6.7744848059898416E-2</c:v>
                </c:pt>
                <c:pt idx="5">
                  <c:v>-1.061831987294304E-2</c:v>
                </c:pt>
                <c:pt idx="6">
                  <c:v>-5.360870887410276E-2</c:v>
                </c:pt>
                <c:pt idx="7">
                  <c:v>-4.639414648062698E-2</c:v>
                </c:pt>
                <c:pt idx="8">
                  <c:v>0.12343393962678316</c:v>
                </c:pt>
                <c:pt idx="9">
                  <c:v>0.14072255534861403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92C-46DB-BD1B-708452FC9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396521000"/>
        <c:axId val="396516688"/>
      </c:barChart>
      <c:catAx>
        <c:axId val="3965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6516688"/>
        <c:crosses val="autoZero"/>
        <c:auto val="1"/>
        <c:lblAlgn val="ctr"/>
        <c:lblOffset val="100"/>
        <c:noMultiLvlLbl val="0"/>
      </c:catAx>
      <c:valAx>
        <c:axId val="396516688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396521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572-4EEF-BC83-26E1A2C7152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3.53'!$A$6:$A$7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3.53'!$B$6:$B$7</c:f>
              <c:numCache>
                <c:formatCode>0.0%</c:formatCode>
                <c:ptCount val="2"/>
                <c:pt idx="0">
                  <c:v>1.7382825802779633</c:v>
                </c:pt>
                <c:pt idx="1">
                  <c:v>0.72000407502985075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2-4EEF-BC83-26E1A2C715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17472"/>
        <c:axId val="396517864"/>
      </c:barChart>
      <c:catAx>
        <c:axId val="3965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6517864"/>
        <c:crosses val="autoZero"/>
        <c:auto val="1"/>
        <c:lblAlgn val="ctr"/>
        <c:lblOffset val="100"/>
        <c:noMultiLvlLbl val="0"/>
      </c:catAx>
      <c:valAx>
        <c:axId val="39651786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17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EBCB-4831-8B28-6CD9E163484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3.54'!$A$6:$A$7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3.54'!$B$6:$B$7</c:f>
              <c:numCache>
                <c:formatCode>0.0%</c:formatCode>
                <c:ptCount val="2"/>
                <c:pt idx="0">
                  <c:v>0.24332166697349028</c:v>
                </c:pt>
                <c:pt idx="1">
                  <c:v>0.10140330984685296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B-4831-8B28-6CD9E1634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23352"/>
        <c:axId val="396523744"/>
      </c:barChart>
      <c:catAx>
        <c:axId val="39652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6523744"/>
        <c:crosses val="autoZero"/>
        <c:auto val="1"/>
        <c:lblAlgn val="ctr"/>
        <c:lblOffset val="100"/>
        <c:noMultiLvlLbl val="0"/>
      </c:catAx>
      <c:valAx>
        <c:axId val="39652374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23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78057268305009797"/>
          <c:h val="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9CF7-43E1-A51D-9828A130B441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CF7-43E1-A51D-9828A130B44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CF7-43E1-A51D-9828A130B44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7-9CF7-43E1-A51D-9828A130B441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9CF7-43E1-A51D-9828A130B44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9CF7-43E1-A51D-9828A130B441}"/>
              </c:ext>
            </c:extLst>
          </c:dPt>
          <c:dPt>
            <c:idx val="9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9CF7-43E1-A51D-9828A130B441}"/>
              </c:ext>
            </c:extLst>
          </c:dPt>
          <c:dPt>
            <c:idx val="1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9CF7-43E1-A51D-9828A130B44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3.55'!$A$6:$A$17</c15:sqref>
                  </c15:fullRef>
                </c:ext>
              </c:extLst>
              <c:f>('Fig 3.55'!$A$6:$A$10,'Fig 3.55'!$A$12:$A$17)</c:f>
              <c:strCache>
                <c:ptCount val="11"/>
                <c:pt idx="0">
                  <c:v>Latam</c:v>
                </c:pt>
                <c:pt idx="1">
                  <c:v>Absa</c:v>
                </c:pt>
                <c:pt idx="2">
                  <c:v>Avianca</c:v>
                </c:pt>
                <c:pt idx="3">
                  <c:v>Azul</c:v>
                </c:pt>
                <c:pt idx="4">
                  <c:v>Gol</c:v>
                </c:pt>
                <c:pt idx="5">
                  <c:v>Atlas Air</c:v>
                </c:pt>
                <c:pt idx="6">
                  <c:v>American Airlines</c:v>
                </c:pt>
                <c:pt idx="7">
                  <c:v>Cargolux</c:v>
                </c:pt>
                <c:pt idx="8">
                  <c:v>TAP</c:v>
                </c:pt>
                <c:pt idx="9">
                  <c:v>Korean Air</c:v>
                </c:pt>
                <c:pt idx="10">
                  <c:v>Demais Estrangeiras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3.55'!$B$6:$B$17</c15:sqref>
                  </c15:fullRef>
                </c:ext>
              </c:extLst>
              <c:f>('Fig 3.55'!$B$6:$B$10,'Fig 3.55'!$B$12:$B$17)</c:f>
              <c:numCache>
                <c:formatCode>_(* #,##0_);_(* \(#,##0\);_(* "-"??_);_(@_)</c:formatCode>
                <c:ptCount val="11"/>
                <c:pt idx="0">
                  <c:v>137226992</c:v>
                </c:pt>
                <c:pt idx="1">
                  <c:v>84203942</c:v>
                </c:pt>
                <c:pt idx="2">
                  <c:v>32540415</c:v>
                </c:pt>
                <c:pt idx="3">
                  <c:v>25681342</c:v>
                </c:pt>
                <c:pt idx="4">
                  <c:v>2038477</c:v>
                </c:pt>
                <c:pt idx="5">
                  <c:v>70778172</c:v>
                </c:pt>
                <c:pt idx="6">
                  <c:v>55816239</c:v>
                </c:pt>
                <c:pt idx="7">
                  <c:v>52330728</c:v>
                </c:pt>
                <c:pt idx="8">
                  <c:v>42621455</c:v>
                </c:pt>
                <c:pt idx="9">
                  <c:v>35740870</c:v>
                </c:pt>
                <c:pt idx="10">
                  <c:v>393852769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F7-43E1-A51D-9828A130B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6573359125958185"/>
          <c:y val="8.1414041994750663E-2"/>
          <c:w val="0.22042557829060117"/>
          <c:h val="0.83717191601051477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F9FC-4DBD-9238-128A2F3111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9FC-4DBD-9238-128A2F31115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9FC-4DBD-9238-128A2F311156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7-F9FC-4DBD-9238-128A2F3111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F9FC-4DBD-9238-128A2F3111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9FC-4DBD-9238-128A2F3111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F9FC-4DBD-9238-128A2F3111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F9FC-4DBD-9238-128A2F311156}"/>
              </c:ext>
            </c:extLst>
          </c:dPt>
          <c:dPt>
            <c:idx val="8"/>
            <c:invertIfNegative val="0"/>
            <c:bubble3D val="0"/>
            <c:spPr>
              <a:solidFill>
                <a:srgbClr val="8B4935"/>
              </a:solidFill>
            </c:spPr>
            <c:extLst>
              <c:ext xmlns:c16="http://schemas.microsoft.com/office/drawing/2014/chart" uri="{C3380CC4-5D6E-409C-BE32-E72D297353CC}">
                <c16:uniqueId val="{00000011-F9FC-4DBD-9238-128A2F311156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F9FC-4DBD-9238-128A2F3111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F9FC-4DBD-9238-128A2F31115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3.56'!$A$6:$A$17</c15:sqref>
                  </c15:fullRef>
                </c:ext>
              </c:extLst>
              <c:f>('Fig 3.56'!$A$6:$A$10,'Fig 3.56'!$A$12:$A$17)</c:f>
              <c:strCache>
                <c:ptCount val="11"/>
                <c:pt idx="0">
                  <c:v>Latam</c:v>
                </c:pt>
                <c:pt idx="1">
                  <c:v>Absa</c:v>
                </c:pt>
                <c:pt idx="2">
                  <c:v>Avianca</c:v>
                </c:pt>
                <c:pt idx="3">
                  <c:v>Azul</c:v>
                </c:pt>
                <c:pt idx="4">
                  <c:v>Gol</c:v>
                </c:pt>
                <c:pt idx="5">
                  <c:v>Atlas Air</c:v>
                </c:pt>
                <c:pt idx="6">
                  <c:v>American Airlines</c:v>
                </c:pt>
                <c:pt idx="7">
                  <c:v>Cargolux</c:v>
                </c:pt>
                <c:pt idx="8">
                  <c:v>TAP</c:v>
                </c:pt>
                <c:pt idx="9">
                  <c:v>Korean Air</c:v>
                </c:pt>
                <c:pt idx="10">
                  <c:v>Demais Estrangeiras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3.56'!$B$6:$B$17</c15:sqref>
                  </c15:fullRef>
                </c:ext>
              </c:extLst>
              <c:f>('Fig 3.56'!$B$6:$B$10,'Fig 3.56'!$B$12:$B$17)</c:f>
              <c:numCache>
                <c:formatCode>0.0%</c:formatCode>
                <c:ptCount val="11"/>
                <c:pt idx="0">
                  <c:v>0.1657184183707725</c:v>
                </c:pt>
                <c:pt idx="1">
                  <c:v>0.1395690156866376</c:v>
                </c:pt>
                <c:pt idx="2">
                  <c:v>0.93291027650659486</c:v>
                </c:pt>
                <c:pt idx="3">
                  <c:v>0.64458674584861209</c:v>
                </c:pt>
                <c:pt idx="4">
                  <c:v>-0.1855588383944321</c:v>
                </c:pt>
                <c:pt idx="5">
                  <c:v>0.22050612927004321</c:v>
                </c:pt>
                <c:pt idx="6">
                  <c:v>5.2167201425554532E-2</c:v>
                </c:pt>
                <c:pt idx="7">
                  <c:v>0.15628530758551062</c:v>
                </c:pt>
                <c:pt idx="8">
                  <c:v>4.5888368405551772E-2</c:v>
                </c:pt>
                <c:pt idx="9">
                  <c:v>0.73445381951986599</c:v>
                </c:pt>
                <c:pt idx="10">
                  <c:v>5.4389490302815702E-2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3.56'!$B$11</c15:sqref>
                  <c15:spPr xmlns:c15="http://schemas.microsoft.com/office/drawing/2012/chart">
                    <a:solidFill>
                      <a:schemeClr val="accent6">
                        <a:lumMod val="75000"/>
                      </a:schemeClr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F9FC-4DBD-9238-128A2F311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21784"/>
        <c:axId val="396524136"/>
      </c:barChart>
      <c:catAx>
        <c:axId val="39652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6524136"/>
        <c:crosses val="autoZero"/>
        <c:auto val="1"/>
        <c:lblAlgn val="ctr"/>
        <c:lblOffset val="100"/>
        <c:noMultiLvlLbl val="0"/>
      </c:catAx>
      <c:valAx>
        <c:axId val="396524136"/>
        <c:scaling>
          <c:orientation val="minMax"/>
          <c:min val="-0.4"/>
        </c:scaling>
        <c:delete val="1"/>
        <c:axPos val="l"/>
        <c:numFmt formatCode="0%" sourceLinked="0"/>
        <c:majorTickMark val="out"/>
        <c:minorTickMark val="none"/>
        <c:tickLblPos val="nextTo"/>
        <c:crossAx val="396521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33058728931046"/>
          <c:y val="2.5200458190148777E-2"/>
          <c:w val="0.63603947627935198"/>
          <c:h val="0.8676366227417449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3.57'!$C$19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3.57'!$A$6:$A$17</c:f>
              <c:strCache>
                <c:ptCount val="12"/>
                <c:pt idx="0">
                  <c:v>América Do Norte / Brasil</c:v>
                </c:pt>
                <c:pt idx="1">
                  <c:v>Europa / Brasil</c:v>
                </c:pt>
                <c:pt idx="2">
                  <c:v>América Do Sul / Brasil</c:v>
                </c:pt>
                <c:pt idx="3">
                  <c:v>Ásia / Brasil</c:v>
                </c:pt>
                <c:pt idx="4">
                  <c:v>África / Brasil</c:v>
                </c:pt>
                <c:pt idx="5">
                  <c:v>América Central / Brasil</c:v>
                </c:pt>
                <c:pt idx="6">
                  <c:v>Brasil / América Do Norte</c:v>
                </c:pt>
                <c:pt idx="7">
                  <c:v>Brasil / Europa</c:v>
                </c:pt>
                <c:pt idx="8">
                  <c:v>Brasil / América Do Sul</c:v>
                </c:pt>
                <c:pt idx="9">
                  <c:v>Brasil / Ásia</c:v>
                </c:pt>
                <c:pt idx="10">
                  <c:v>Brasil / África</c:v>
                </c:pt>
                <c:pt idx="11">
                  <c:v>Brasil / América Central</c:v>
                </c:pt>
              </c:strCache>
            </c:strRef>
          </c:cat>
          <c:val>
            <c:numRef>
              <c:f>'Fig 3.57'!$C$6:$C$17</c:f>
              <c:numCache>
                <c:formatCode>_(* #,##0_);_(* \(#,##0\);_(* "-"??_);_(@_)</c:formatCode>
                <c:ptCount val="12"/>
                <c:pt idx="0">
                  <c:v>188672812</c:v>
                </c:pt>
                <c:pt idx="1">
                  <c:v>164860669</c:v>
                </c:pt>
                <c:pt idx="2">
                  <c:v>56835676</c:v>
                </c:pt>
                <c:pt idx="3">
                  <c:v>13830821</c:v>
                </c:pt>
                <c:pt idx="4">
                  <c:v>7323270</c:v>
                </c:pt>
                <c:pt idx="5">
                  <c:v>758300</c:v>
                </c:pt>
                <c:pt idx="6">
                  <c:v>140822380</c:v>
                </c:pt>
                <c:pt idx="7">
                  <c:v>129715136</c:v>
                </c:pt>
                <c:pt idx="8">
                  <c:v>75762315</c:v>
                </c:pt>
                <c:pt idx="9">
                  <c:v>9585230</c:v>
                </c:pt>
                <c:pt idx="10">
                  <c:v>7294510</c:v>
                </c:pt>
                <c:pt idx="11">
                  <c:v>1578970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F-41B5-A68F-A28DCB944CDC}"/>
            </c:ext>
          </c:extLst>
        </c:ser>
        <c:ser>
          <c:idx val="0"/>
          <c:order val="1"/>
          <c:tx>
            <c:strRef>
              <c:f>'Fig 3.57'!$B$19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3.57'!$A$6:$A$17</c:f>
              <c:strCache>
                <c:ptCount val="12"/>
                <c:pt idx="0">
                  <c:v>América Do Norte / Brasil</c:v>
                </c:pt>
                <c:pt idx="1">
                  <c:v>Europa / Brasil</c:v>
                </c:pt>
                <c:pt idx="2">
                  <c:v>América Do Sul / Brasil</c:v>
                </c:pt>
                <c:pt idx="3">
                  <c:v>Ásia / Brasil</c:v>
                </c:pt>
                <c:pt idx="4">
                  <c:v>África / Brasil</c:v>
                </c:pt>
                <c:pt idx="5">
                  <c:v>América Central / Brasil</c:v>
                </c:pt>
                <c:pt idx="6">
                  <c:v>Brasil / América Do Norte</c:v>
                </c:pt>
                <c:pt idx="7">
                  <c:v>Brasil / Europa</c:v>
                </c:pt>
                <c:pt idx="8">
                  <c:v>Brasil / América Do Sul</c:v>
                </c:pt>
                <c:pt idx="9">
                  <c:v>Brasil / Ásia</c:v>
                </c:pt>
                <c:pt idx="10">
                  <c:v>Brasil / África</c:v>
                </c:pt>
                <c:pt idx="11">
                  <c:v>Brasil / América Central</c:v>
                </c:pt>
              </c:strCache>
            </c:strRef>
          </c:cat>
          <c:val>
            <c:numRef>
              <c:f>'Fig 3.57'!$B$6:$B$17</c:f>
              <c:numCache>
                <c:formatCode>_(* #,##0_);_(* \(#,##0\);_(* "-"??_);_(@_)</c:formatCode>
                <c:ptCount val="12"/>
                <c:pt idx="0">
                  <c:v>180038143</c:v>
                </c:pt>
                <c:pt idx="1">
                  <c:v>149430991</c:v>
                </c:pt>
                <c:pt idx="2">
                  <c:v>52121974</c:v>
                </c:pt>
                <c:pt idx="3">
                  <c:v>16757982</c:v>
                </c:pt>
                <c:pt idx="4">
                  <c:v>5418530</c:v>
                </c:pt>
                <c:pt idx="5">
                  <c:v>778265</c:v>
                </c:pt>
                <c:pt idx="6">
                  <c:v>118251686</c:v>
                </c:pt>
                <c:pt idx="7">
                  <c:v>106916962</c:v>
                </c:pt>
                <c:pt idx="8">
                  <c:v>60644591</c:v>
                </c:pt>
                <c:pt idx="9">
                  <c:v>9036983</c:v>
                </c:pt>
                <c:pt idx="10">
                  <c:v>6834958</c:v>
                </c:pt>
                <c:pt idx="11">
                  <c:v>1223919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F-41B5-A68F-A28DCB944C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5"/>
        <c:axId val="396522960"/>
        <c:axId val="398786480"/>
      </c:barChart>
      <c:catAx>
        <c:axId val="3965229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8786480"/>
        <c:crosses val="autoZero"/>
        <c:auto val="1"/>
        <c:lblAlgn val="ctr"/>
        <c:lblOffset val="100"/>
        <c:noMultiLvlLbl val="0"/>
      </c:catAx>
      <c:valAx>
        <c:axId val="398786480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Toneladas</a:t>
                </a:r>
              </a:p>
            </c:rich>
          </c:tx>
          <c:layout>
            <c:manualLayout>
              <c:xMode val="edge"/>
              <c:yMode val="edge"/>
              <c:x val="0.73063882232112287"/>
              <c:y val="0.95001024380249954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96522960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33058728931035"/>
          <c:y val="2.5200458190148777E-2"/>
          <c:w val="0.63603947627935165"/>
          <c:h val="0.867636622741744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3.58'!$C$27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3.58'!$A$6:$A$25</c:f>
              <c:strCache>
                <c:ptCount val="20"/>
                <c:pt idx="0">
                  <c:v>Brasil / Estados Unidos</c:v>
                </c:pt>
                <c:pt idx="1">
                  <c:v>Brasil / Alemanha</c:v>
                </c:pt>
                <c:pt idx="2">
                  <c:v>Brasil / Portugal</c:v>
                </c:pt>
                <c:pt idx="3">
                  <c:v>Brasil / Chile</c:v>
                </c:pt>
                <c:pt idx="4">
                  <c:v>Brasil / Colômbia</c:v>
                </c:pt>
                <c:pt idx="5">
                  <c:v>Brasil / França</c:v>
                </c:pt>
                <c:pt idx="6">
                  <c:v>Brasil / Reino Unido</c:v>
                </c:pt>
                <c:pt idx="7">
                  <c:v>Brasil / Argentina</c:v>
                </c:pt>
                <c:pt idx="8">
                  <c:v>Brasil / Espanha</c:v>
                </c:pt>
                <c:pt idx="9">
                  <c:v>Brasil / Peru</c:v>
                </c:pt>
                <c:pt idx="10">
                  <c:v>Brasil / México</c:v>
                </c:pt>
                <c:pt idx="11">
                  <c:v>Brasil / Holanda</c:v>
                </c:pt>
                <c:pt idx="12">
                  <c:v>Brasil / Suíça</c:v>
                </c:pt>
                <c:pt idx="13">
                  <c:v>Brasil / Equador</c:v>
                </c:pt>
                <c:pt idx="14">
                  <c:v>Brasil / Luxemburgo</c:v>
                </c:pt>
                <c:pt idx="15">
                  <c:v>Brasil / Itália</c:v>
                </c:pt>
                <c:pt idx="16">
                  <c:v>Brasil / Canadá</c:v>
                </c:pt>
                <c:pt idx="17">
                  <c:v>Brasil / Emirados Árabes Unidos</c:v>
                </c:pt>
                <c:pt idx="18">
                  <c:v>Brasil / África Do Sul</c:v>
                </c:pt>
                <c:pt idx="19">
                  <c:v>Brasil / Qatar</c:v>
                </c:pt>
              </c:strCache>
            </c:strRef>
          </c:cat>
          <c:val>
            <c:numRef>
              <c:f>'Fig 3.58'!$C$6:$C$25</c:f>
              <c:numCache>
                <c:formatCode>_(* #,##0_);_(* \(#,##0\);_(* "-"??_);_(@_)</c:formatCode>
                <c:ptCount val="20"/>
                <c:pt idx="0">
                  <c:v>125138237</c:v>
                </c:pt>
                <c:pt idx="1">
                  <c:v>26147385</c:v>
                </c:pt>
                <c:pt idx="2">
                  <c:v>25434973</c:v>
                </c:pt>
                <c:pt idx="3">
                  <c:v>20148075</c:v>
                </c:pt>
                <c:pt idx="4">
                  <c:v>18618335</c:v>
                </c:pt>
                <c:pt idx="5">
                  <c:v>16801038</c:v>
                </c:pt>
                <c:pt idx="6">
                  <c:v>16261518</c:v>
                </c:pt>
                <c:pt idx="7">
                  <c:v>15414364</c:v>
                </c:pt>
                <c:pt idx="8">
                  <c:v>14936326</c:v>
                </c:pt>
                <c:pt idx="9">
                  <c:v>12364802</c:v>
                </c:pt>
                <c:pt idx="10">
                  <c:v>11459564</c:v>
                </c:pt>
                <c:pt idx="11">
                  <c:v>10450248</c:v>
                </c:pt>
                <c:pt idx="12">
                  <c:v>7679816</c:v>
                </c:pt>
                <c:pt idx="13">
                  <c:v>6629190</c:v>
                </c:pt>
                <c:pt idx="14">
                  <c:v>6144080</c:v>
                </c:pt>
                <c:pt idx="15">
                  <c:v>5574513</c:v>
                </c:pt>
                <c:pt idx="16">
                  <c:v>4224579</c:v>
                </c:pt>
                <c:pt idx="17">
                  <c:v>3757739</c:v>
                </c:pt>
                <c:pt idx="18">
                  <c:v>3624986</c:v>
                </c:pt>
                <c:pt idx="19">
                  <c:v>2808393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6-4F30-ACE7-0AF50EC09799}"/>
            </c:ext>
          </c:extLst>
        </c:ser>
        <c:ser>
          <c:idx val="1"/>
          <c:order val="1"/>
          <c:tx>
            <c:strRef>
              <c:f>'Fig 3.58'!$B$27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3.58'!$A$6:$A$25</c:f>
              <c:strCache>
                <c:ptCount val="20"/>
                <c:pt idx="0">
                  <c:v>Brasil / Estados Unidos</c:v>
                </c:pt>
                <c:pt idx="1">
                  <c:v>Brasil / Alemanha</c:v>
                </c:pt>
                <c:pt idx="2">
                  <c:v>Brasil / Portugal</c:v>
                </c:pt>
                <c:pt idx="3">
                  <c:v>Brasil / Chile</c:v>
                </c:pt>
                <c:pt idx="4">
                  <c:v>Brasil / Colômbia</c:v>
                </c:pt>
                <c:pt idx="5">
                  <c:v>Brasil / França</c:v>
                </c:pt>
                <c:pt idx="6">
                  <c:v>Brasil / Reino Unido</c:v>
                </c:pt>
                <c:pt idx="7">
                  <c:v>Brasil / Argentina</c:v>
                </c:pt>
                <c:pt idx="8">
                  <c:v>Brasil / Espanha</c:v>
                </c:pt>
                <c:pt idx="9">
                  <c:v>Brasil / Peru</c:v>
                </c:pt>
                <c:pt idx="10">
                  <c:v>Brasil / México</c:v>
                </c:pt>
                <c:pt idx="11">
                  <c:v>Brasil / Holanda</c:v>
                </c:pt>
                <c:pt idx="12">
                  <c:v>Brasil / Suíça</c:v>
                </c:pt>
                <c:pt idx="13">
                  <c:v>Brasil / Equador</c:v>
                </c:pt>
                <c:pt idx="14">
                  <c:v>Brasil / Luxemburgo</c:v>
                </c:pt>
                <c:pt idx="15">
                  <c:v>Brasil / Itália</c:v>
                </c:pt>
                <c:pt idx="16">
                  <c:v>Brasil / Canadá</c:v>
                </c:pt>
                <c:pt idx="17">
                  <c:v>Brasil / Emirados Árabes Unidos</c:v>
                </c:pt>
                <c:pt idx="18">
                  <c:v>Brasil / África Do Sul</c:v>
                </c:pt>
                <c:pt idx="19">
                  <c:v>Brasil / Qatar</c:v>
                </c:pt>
              </c:strCache>
            </c:strRef>
          </c:cat>
          <c:val>
            <c:numRef>
              <c:f>'Fig 3.58'!$B$6:$B$25</c:f>
              <c:numCache>
                <c:formatCode>_(* #,##0_);_(* \(#,##0\);_(* "-"??_);_(@_)</c:formatCode>
                <c:ptCount val="20"/>
                <c:pt idx="0">
                  <c:v>105416974</c:v>
                </c:pt>
                <c:pt idx="1">
                  <c:v>20151258</c:v>
                </c:pt>
                <c:pt idx="2">
                  <c:v>22176569</c:v>
                </c:pt>
                <c:pt idx="3">
                  <c:v>16116458</c:v>
                </c:pt>
                <c:pt idx="4">
                  <c:v>13287753</c:v>
                </c:pt>
                <c:pt idx="5">
                  <c:v>15519323</c:v>
                </c:pt>
                <c:pt idx="6">
                  <c:v>12438786</c:v>
                </c:pt>
                <c:pt idx="7">
                  <c:v>16704738</c:v>
                </c:pt>
                <c:pt idx="8">
                  <c:v>11488220</c:v>
                </c:pt>
                <c:pt idx="9">
                  <c:v>5905445</c:v>
                </c:pt>
                <c:pt idx="10">
                  <c:v>8592282</c:v>
                </c:pt>
                <c:pt idx="11">
                  <c:v>7307486</c:v>
                </c:pt>
                <c:pt idx="12">
                  <c:v>6610330</c:v>
                </c:pt>
                <c:pt idx="13">
                  <c:v>5959009</c:v>
                </c:pt>
                <c:pt idx="14">
                  <c:v>5589693</c:v>
                </c:pt>
                <c:pt idx="15">
                  <c:v>5634097</c:v>
                </c:pt>
                <c:pt idx="16">
                  <c:v>4242430</c:v>
                </c:pt>
                <c:pt idx="17">
                  <c:v>3997756</c:v>
                </c:pt>
                <c:pt idx="18">
                  <c:v>3508539</c:v>
                </c:pt>
                <c:pt idx="19">
                  <c:v>1919215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6-4F30-ACE7-0AF50EC097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5"/>
        <c:axId val="398783736"/>
        <c:axId val="398780600"/>
      </c:barChart>
      <c:catAx>
        <c:axId val="3987837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8780600"/>
        <c:crosses val="autoZero"/>
        <c:auto val="1"/>
        <c:lblAlgn val="ctr"/>
        <c:lblOffset val="100"/>
        <c:noMultiLvlLbl val="0"/>
      </c:catAx>
      <c:valAx>
        <c:axId val="398780600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nextTo"/>
        <c:crossAx val="398783736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Milhares de</a:t>
                  </a:r>
                  <a:r>
                    <a:rPr lang="pt-BR" baseline="0"/>
                    <a:t> Toneladas</a:t>
                  </a:r>
                  <a:endParaRPr lang="pt-BR"/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33058728931035"/>
          <c:y val="2.5200458190148777E-2"/>
          <c:w val="0.63603947627935165"/>
          <c:h val="0.8676366227417449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3.59'!$C$27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3.59'!$A$6:$A$25</c:f>
              <c:strCache>
                <c:ptCount val="20"/>
                <c:pt idx="0">
                  <c:v>Estados Unidos / Brasil</c:v>
                </c:pt>
                <c:pt idx="1">
                  <c:v>Luxemburgo / Brasil</c:v>
                </c:pt>
                <c:pt idx="2">
                  <c:v>Chile / Brasil</c:v>
                </c:pt>
                <c:pt idx="3">
                  <c:v>Alemanha / Brasil</c:v>
                </c:pt>
                <c:pt idx="4">
                  <c:v>Portugal / Brasil</c:v>
                </c:pt>
                <c:pt idx="5">
                  <c:v>Holanda / Brasil</c:v>
                </c:pt>
                <c:pt idx="6">
                  <c:v>França / Brasil</c:v>
                </c:pt>
                <c:pt idx="7">
                  <c:v>Reino Unido / Brasil</c:v>
                </c:pt>
                <c:pt idx="8">
                  <c:v>Espanha / Brasil</c:v>
                </c:pt>
                <c:pt idx="9">
                  <c:v>Peru / Brasil</c:v>
                </c:pt>
                <c:pt idx="10">
                  <c:v>Colômbia / Brasil</c:v>
                </c:pt>
                <c:pt idx="11">
                  <c:v>Itália / Brasil</c:v>
                </c:pt>
                <c:pt idx="12">
                  <c:v>Suíça / Brasil</c:v>
                </c:pt>
                <c:pt idx="13">
                  <c:v>Argentina / Brasil</c:v>
                </c:pt>
                <c:pt idx="14">
                  <c:v>México / Brasil</c:v>
                </c:pt>
                <c:pt idx="15">
                  <c:v>Coréia Do Sul / Brasil</c:v>
                </c:pt>
                <c:pt idx="16">
                  <c:v>Turquia / Brasil</c:v>
                </c:pt>
                <c:pt idx="17">
                  <c:v>Emirados Árabes Unidos / Brasil</c:v>
                </c:pt>
                <c:pt idx="18">
                  <c:v>Canadá / Brasil</c:v>
                </c:pt>
                <c:pt idx="19">
                  <c:v>África Do Sul / Brasil</c:v>
                </c:pt>
              </c:strCache>
            </c:strRef>
          </c:cat>
          <c:val>
            <c:numRef>
              <c:f>'Fig 3.59'!$C$6:$C$25</c:f>
              <c:numCache>
                <c:formatCode>_(* #,##0_);_(* \(#,##0\);_(* "-"??_);_(@_)</c:formatCode>
                <c:ptCount val="20"/>
                <c:pt idx="0">
                  <c:v>179639868</c:v>
                </c:pt>
                <c:pt idx="1">
                  <c:v>32185211</c:v>
                </c:pt>
                <c:pt idx="2">
                  <c:v>28666237</c:v>
                </c:pt>
                <c:pt idx="3">
                  <c:v>26896878</c:v>
                </c:pt>
                <c:pt idx="4">
                  <c:v>23794904</c:v>
                </c:pt>
                <c:pt idx="5">
                  <c:v>21387265</c:v>
                </c:pt>
                <c:pt idx="6">
                  <c:v>16700630</c:v>
                </c:pt>
                <c:pt idx="7">
                  <c:v>14277965</c:v>
                </c:pt>
                <c:pt idx="8">
                  <c:v>12755401</c:v>
                </c:pt>
                <c:pt idx="9">
                  <c:v>11286466</c:v>
                </c:pt>
                <c:pt idx="10">
                  <c:v>7970893</c:v>
                </c:pt>
                <c:pt idx="11">
                  <c:v>7597861</c:v>
                </c:pt>
                <c:pt idx="12">
                  <c:v>7509468</c:v>
                </c:pt>
                <c:pt idx="13">
                  <c:v>7458112</c:v>
                </c:pt>
                <c:pt idx="14">
                  <c:v>5469380</c:v>
                </c:pt>
                <c:pt idx="15">
                  <c:v>4330607</c:v>
                </c:pt>
                <c:pt idx="16">
                  <c:v>3800431</c:v>
                </c:pt>
                <c:pt idx="17">
                  <c:v>3677693</c:v>
                </c:pt>
                <c:pt idx="18">
                  <c:v>3563564</c:v>
                </c:pt>
                <c:pt idx="19">
                  <c:v>2237327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4123-AC41-5A3EC8E29E93}"/>
            </c:ext>
          </c:extLst>
        </c:ser>
        <c:ser>
          <c:idx val="0"/>
          <c:order val="1"/>
          <c:tx>
            <c:strRef>
              <c:f>'Fig 3.59'!$B$27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3.59'!$A$6:$A$25</c:f>
              <c:strCache>
                <c:ptCount val="20"/>
                <c:pt idx="0">
                  <c:v>Estados Unidos / Brasil</c:v>
                </c:pt>
                <c:pt idx="1">
                  <c:v>Luxemburgo / Brasil</c:v>
                </c:pt>
                <c:pt idx="2">
                  <c:v>Chile / Brasil</c:v>
                </c:pt>
                <c:pt idx="3">
                  <c:v>Alemanha / Brasil</c:v>
                </c:pt>
                <c:pt idx="4">
                  <c:v>Portugal / Brasil</c:v>
                </c:pt>
                <c:pt idx="5">
                  <c:v>Holanda / Brasil</c:v>
                </c:pt>
                <c:pt idx="6">
                  <c:v>França / Brasil</c:v>
                </c:pt>
                <c:pt idx="7">
                  <c:v>Reino Unido / Brasil</c:v>
                </c:pt>
                <c:pt idx="8">
                  <c:v>Espanha / Brasil</c:v>
                </c:pt>
                <c:pt idx="9">
                  <c:v>Peru / Brasil</c:v>
                </c:pt>
                <c:pt idx="10">
                  <c:v>Colômbia / Brasil</c:v>
                </c:pt>
                <c:pt idx="11">
                  <c:v>Itália / Brasil</c:v>
                </c:pt>
                <c:pt idx="12">
                  <c:v>Suíça / Brasil</c:v>
                </c:pt>
                <c:pt idx="13">
                  <c:v>Argentina / Brasil</c:v>
                </c:pt>
                <c:pt idx="14">
                  <c:v>México / Brasil</c:v>
                </c:pt>
                <c:pt idx="15">
                  <c:v>Coréia Do Sul / Brasil</c:v>
                </c:pt>
                <c:pt idx="16">
                  <c:v>Turquia / Brasil</c:v>
                </c:pt>
                <c:pt idx="17">
                  <c:v>Emirados Árabes Unidos / Brasil</c:v>
                </c:pt>
                <c:pt idx="18">
                  <c:v>Canadá / Brasil</c:v>
                </c:pt>
                <c:pt idx="19">
                  <c:v>África Do Sul / Brasil</c:v>
                </c:pt>
              </c:strCache>
            </c:strRef>
          </c:cat>
          <c:val>
            <c:numRef>
              <c:f>'Fig 3.59'!$B$6:$B$25</c:f>
              <c:numCache>
                <c:formatCode>_(* #,##0_);_(* \(#,##0\);_(* "-"??_);_(@_)</c:formatCode>
                <c:ptCount val="20"/>
                <c:pt idx="0">
                  <c:v>171724416</c:v>
                </c:pt>
                <c:pt idx="1">
                  <c:v>26553586</c:v>
                </c:pt>
                <c:pt idx="2">
                  <c:v>24194758</c:v>
                </c:pt>
                <c:pt idx="3">
                  <c:v>25527244</c:v>
                </c:pt>
                <c:pt idx="4">
                  <c:v>23625455</c:v>
                </c:pt>
                <c:pt idx="5">
                  <c:v>20977778</c:v>
                </c:pt>
                <c:pt idx="6">
                  <c:v>16175323</c:v>
                </c:pt>
                <c:pt idx="7">
                  <c:v>12733953</c:v>
                </c:pt>
                <c:pt idx="8">
                  <c:v>11191742</c:v>
                </c:pt>
                <c:pt idx="9">
                  <c:v>10496498</c:v>
                </c:pt>
                <c:pt idx="10">
                  <c:v>8212367</c:v>
                </c:pt>
                <c:pt idx="11">
                  <c:v>6018133</c:v>
                </c:pt>
                <c:pt idx="12">
                  <c:v>6277347</c:v>
                </c:pt>
                <c:pt idx="13">
                  <c:v>7598894</c:v>
                </c:pt>
                <c:pt idx="14">
                  <c:v>4979381</c:v>
                </c:pt>
                <c:pt idx="15">
                  <c:v>3541288</c:v>
                </c:pt>
                <c:pt idx="16">
                  <c:v>4110353</c:v>
                </c:pt>
                <c:pt idx="17">
                  <c:v>7127908</c:v>
                </c:pt>
                <c:pt idx="18">
                  <c:v>3334346</c:v>
                </c:pt>
                <c:pt idx="19">
                  <c:v>2588822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4123-AC41-5A3EC8E29E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5"/>
        <c:axId val="398781776"/>
        <c:axId val="398776680"/>
      </c:barChart>
      <c:catAx>
        <c:axId val="3987817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8776680"/>
        <c:crosses val="autoZero"/>
        <c:auto val="1"/>
        <c:lblAlgn val="ctr"/>
        <c:lblOffset val="100"/>
        <c:noMultiLvlLbl val="0"/>
      </c:catAx>
      <c:valAx>
        <c:axId val="398776680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nextTo"/>
        <c:crossAx val="398781776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Milhares de Toneladas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3.60'!$A$6</c:f>
              <c:strCache>
                <c:ptCount val="1"/>
                <c:pt idx="0">
                  <c:v>Rodoviário interestadual regular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8182762201453791E-2"/>
                  <c:y val="-4.119203849518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B0-46BC-B323-39782CEE4180}"/>
                </c:ext>
              </c:extLst>
            </c:dLbl>
            <c:dLbl>
              <c:idx val="1"/>
              <c:layout>
                <c:manualLayout>
                  <c:x val="-2.8182762201453829E-2"/>
                  <c:y val="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B0-46BC-B323-39782CEE4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 3.60'!$B$5:$M$5</c15:sqref>
                  </c15:fullRef>
                </c:ext>
              </c:extLst>
              <c:f>'Fig 3.60'!$D$5:$M$5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3.60'!$B$6:$M$6</c15:sqref>
                  </c15:fullRef>
                </c:ext>
              </c:extLst>
              <c:f>'Fig 3.60'!$D$6:$M$6</c:f>
              <c:numCache>
                <c:formatCode>#,##0_);\(#,##0\)</c:formatCode>
                <c:ptCount val="10"/>
                <c:pt idx="0">
                  <c:v>59347615</c:v>
                </c:pt>
                <c:pt idx="1">
                  <c:v>59213793</c:v>
                </c:pt>
                <c:pt idx="2">
                  <c:v>57125036</c:v>
                </c:pt>
                <c:pt idx="3">
                  <c:v>58784409</c:v>
                </c:pt>
                <c:pt idx="4">
                  <c:v>56789903</c:v>
                </c:pt>
                <c:pt idx="5">
                  <c:v>52091057</c:v>
                </c:pt>
                <c:pt idx="6">
                  <c:v>48284077</c:v>
                </c:pt>
                <c:pt idx="7">
                  <c:v>42555644</c:v>
                </c:pt>
                <c:pt idx="8">
                  <c:v>39511267</c:v>
                </c:pt>
                <c:pt idx="9">
                  <c:v>41810806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3.60'!$B$6</c15:sqref>
                  <c15:dLbl>
                    <c:idx val="-1"/>
                    <c:layout>
                      <c:manualLayout>
                        <c:x val="-1.7798546209761162E-2"/>
                        <c:y val="-3.19327792359288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82D-48A4-9065-0A47A83A7B1D}"/>
                      </c:ext>
                    </c:extLst>
                  </c15:dLbl>
                </c15:categoryFilterException>
                <c15:categoryFilterException>
                  <c15:sqref>'Fig 3.60'!$C$6</c15:sqref>
                  <c15:dLbl>
                    <c:idx val="-1"/>
                    <c:layout>
                      <c:manualLayout>
                        <c:x val="-2.8182762201453791E-2"/>
                        <c:y val="-3.65624088655584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82D-48A4-9065-0A47A83A7B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F2B0-46BC-B323-39782CEE4180}"/>
            </c:ext>
          </c:extLst>
        </c:ser>
        <c:ser>
          <c:idx val="1"/>
          <c:order val="1"/>
          <c:tx>
            <c:strRef>
              <c:f>'Fig 3.60'!$A$7</c:f>
              <c:strCache>
                <c:ptCount val="1"/>
                <c:pt idx="0">
                  <c:v>Aéreo Interestadual Regular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413291796469368E-2"/>
                  <c:y val="4.119203849518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B0-46BC-B323-39782CEE4180}"/>
                </c:ext>
              </c:extLst>
            </c:dLbl>
            <c:dLbl>
              <c:idx val="1"/>
              <c:layout>
                <c:manualLayout>
                  <c:x val="-3.2336448598130882E-2"/>
                  <c:y val="-5.1400554097404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B0-46BC-B323-39782CEE4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'Fig 3.60'!$B$5:$M$5</c15:sqref>
                  </c15:fullRef>
                </c:ext>
              </c:extLst>
              <c:f>'Fig 3.60'!$D$5:$M$5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3.60'!$B$7:$M$7</c15:sqref>
                  </c15:fullRef>
                </c:ext>
              </c:extLst>
              <c:f>'Fig 3.60'!$D$7:$M$7</c:f>
              <c:numCache>
                <c:formatCode>#,##0_);\(#,##0\)</c:formatCode>
                <c:ptCount val="10"/>
                <c:pt idx="0">
                  <c:v>53115310</c:v>
                </c:pt>
                <c:pt idx="1">
                  <c:v>65768309</c:v>
                </c:pt>
                <c:pt idx="2">
                  <c:v>76567650</c:v>
                </c:pt>
                <c:pt idx="3">
                  <c:v>80617735</c:v>
                </c:pt>
                <c:pt idx="4">
                  <c:v>81152340</c:v>
                </c:pt>
                <c:pt idx="5">
                  <c:v>85445793</c:v>
                </c:pt>
                <c:pt idx="6">
                  <c:v>86674573</c:v>
                </c:pt>
                <c:pt idx="7">
                  <c:v>80345739</c:v>
                </c:pt>
                <c:pt idx="8">
                  <c:v>82022194</c:v>
                </c:pt>
                <c:pt idx="9">
                  <c:v>86219336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3.60'!$B$7</c15:sqref>
                  <c15:dLbl>
                    <c:idx val="-1"/>
                    <c:layout>
                      <c:manualLayout>
                        <c:x val="-1.7798546209761162E-2"/>
                        <c:y val="2.730314960629921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82D-48A4-9065-0A47A83A7B1D}"/>
                      </c:ext>
                    </c:extLst>
                  </c15:dLbl>
                </c15:categoryFilterException>
                <c15:categoryFilterException>
                  <c15:sqref>'Fig 3.60'!$C$7</c15:sqref>
                  <c15:dLbl>
                    <c:idx val="-1"/>
                    <c:layout>
                      <c:manualLayout>
                        <c:x val="-2.8182762201453791E-2"/>
                        <c:y val="2.267351997666949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82D-48A4-9065-0A47A83A7B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F2B0-46BC-B323-39782CEE41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785696"/>
        <c:axId val="398779032"/>
      </c:lineChart>
      <c:catAx>
        <c:axId val="3987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79032"/>
        <c:crosses val="autoZero"/>
        <c:auto val="1"/>
        <c:lblAlgn val="ctr"/>
        <c:lblOffset val="100"/>
        <c:noMultiLvlLbl val="0"/>
      </c:catAx>
      <c:valAx>
        <c:axId val="39877903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passageiros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398785696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329387626262624E-2"/>
          <c:y val="5.0278240740740728E-2"/>
          <c:w val="0.91374842171717174"/>
          <c:h val="0.772937268518536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2.4'!$B$6:$B$15</c:f>
              <c:numCache>
                <c:formatCode>_(* #,##0_);_(* \(#,##0\);_(* "-"??_);_(@_)</c:formatCode>
                <c:ptCount val="10"/>
                <c:pt idx="0">
                  <c:v>733624</c:v>
                </c:pt>
                <c:pt idx="1">
                  <c:v>844718</c:v>
                </c:pt>
                <c:pt idx="2">
                  <c:v>958083</c:v>
                </c:pt>
                <c:pt idx="3">
                  <c:v>990839</c:v>
                </c:pt>
                <c:pt idx="4">
                  <c:v>946681</c:v>
                </c:pt>
                <c:pt idx="5">
                  <c:v>941853</c:v>
                </c:pt>
                <c:pt idx="6">
                  <c:v>935675</c:v>
                </c:pt>
                <c:pt idx="7">
                  <c:v>828893</c:v>
                </c:pt>
                <c:pt idx="8">
                  <c:v>805472</c:v>
                </c:pt>
                <c:pt idx="9">
                  <c:v>815862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2-41DE-8BB0-45AC8C8B5D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89496"/>
        <c:axId val="132591064"/>
      </c:barChart>
      <c:catAx>
        <c:axId val="13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91064"/>
        <c:crosses val="autoZero"/>
        <c:auto val="1"/>
        <c:lblAlgn val="ctr"/>
        <c:lblOffset val="100"/>
        <c:noMultiLvlLbl val="0"/>
      </c:catAx>
      <c:valAx>
        <c:axId val="13259106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Milhares de voos</a:t>
                </a:r>
              </a:p>
            </c:rich>
          </c:tx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325894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6E6-40E0-BBC6-A3FEF9B11AA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6E6-40E0-BBC6-A3FEF9B11AA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3.61'!$A$6:$A$7</c:f>
              <c:strCache>
                <c:ptCount val="2"/>
                <c:pt idx="0">
                  <c:v>Rodoviário interestadual regular</c:v>
                </c:pt>
                <c:pt idx="1">
                  <c:v>Aéreo Interestadual regular</c:v>
                </c:pt>
              </c:strCache>
            </c:strRef>
          </c:cat>
          <c:val>
            <c:numRef>
              <c:f>'Fig 3.61'!$B$6:$B$7</c:f>
              <c:numCache>
                <c:formatCode>0.0%</c:formatCode>
                <c:ptCount val="2"/>
                <c:pt idx="0">
                  <c:v>0.32657001973800825</c:v>
                </c:pt>
                <c:pt idx="1">
                  <c:v>0.67342998026199175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6-40E0-BBC6-A3FEF9B11A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'Fig 3.62'!$B$5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5F9-4CBE-A651-E4E69BDAC11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F9-4CBE-A651-E4E69BDAC11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3.62'!$A$6:$A$7</c:f>
              <c:strCache>
                <c:ptCount val="2"/>
                <c:pt idx="0">
                  <c:v>Rodoviário interestadual regular</c:v>
                </c:pt>
                <c:pt idx="1">
                  <c:v>Aéreo Interestadual regular</c:v>
                </c:pt>
              </c:strCache>
            </c:strRef>
          </c:cat>
          <c:val>
            <c:numRef>
              <c:f>'Fig 3.62'!$B$6:$B$7</c:f>
              <c:numCache>
                <c:formatCode>0.0%</c:formatCode>
                <c:ptCount val="2"/>
                <c:pt idx="0">
                  <c:v>0.52770826474591515</c:v>
                </c:pt>
                <c:pt idx="1">
                  <c:v>0.47229173525408485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9-4CBE-A651-E4E69BDAC1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833214030064423E-2"/>
          <c:y val="0.21229636397839349"/>
          <c:w val="0.81136387497017415"/>
          <c:h val="0.50907813997653029"/>
        </c:manualLayout>
      </c:layout>
      <c:pie3DChart>
        <c:varyColors val="1"/>
        <c:ser>
          <c:idx val="0"/>
          <c:order val="0"/>
          <c:tx>
            <c:strRef>
              <c:f>'Fig 3.62'!$C$5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22A-4759-AC99-4AD4E23001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22A-4759-AC99-4AD4E23001B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3.62'!$A$6:$A$7</c:f>
              <c:strCache>
                <c:ptCount val="2"/>
                <c:pt idx="0">
                  <c:v>Rodoviário interestadual regular</c:v>
                </c:pt>
                <c:pt idx="1">
                  <c:v>Aéreo Interestadual regular</c:v>
                </c:pt>
              </c:strCache>
            </c:strRef>
          </c:cat>
          <c:val>
            <c:numRef>
              <c:f>'Fig 3.62'!$C$6:$C$7</c:f>
              <c:numCache>
                <c:formatCode>0.0%</c:formatCode>
                <c:ptCount val="2"/>
                <c:pt idx="0">
                  <c:v>0.32510607922208351</c:v>
                </c:pt>
                <c:pt idx="1">
                  <c:v>0.67489392077791643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A-4759-AC99-4AD4E23001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4.1'!$B$6:$B$15</c:f>
              <c:numCache>
                <c:formatCode>0.0%</c:formatCode>
                <c:ptCount val="10"/>
                <c:pt idx="0">
                  <c:v>0.70632308915650333</c:v>
                </c:pt>
                <c:pt idx="1">
                  <c:v>0.74422386393978701</c:v>
                </c:pt>
                <c:pt idx="2">
                  <c:v>0.75444235587120279</c:v>
                </c:pt>
                <c:pt idx="3">
                  <c:v>0.76597162477900316</c:v>
                </c:pt>
                <c:pt idx="4">
                  <c:v>0.78079637037481864</c:v>
                </c:pt>
                <c:pt idx="5">
                  <c:v>0.79786719614082746</c:v>
                </c:pt>
                <c:pt idx="6">
                  <c:v>0.79151143992334794</c:v>
                </c:pt>
                <c:pt idx="7">
                  <c:v>0.80717379502111941</c:v>
                </c:pt>
                <c:pt idx="8">
                  <c:v>0.83143302202183855</c:v>
                </c:pt>
                <c:pt idx="9">
                  <c:v>0.81805451993848599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ABA-A37E-CC5DE10DB0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84520"/>
        <c:axId val="398774720"/>
      </c:barChart>
      <c:catAx>
        <c:axId val="3987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774720"/>
        <c:crosses val="autoZero"/>
        <c:auto val="1"/>
        <c:lblAlgn val="ctr"/>
        <c:lblOffset val="100"/>
        <c:noMultiLvlLbl val="0"/>
      </c:catAx>
      <c:valAx>
        <c:axId val="398774720"/>
        <c:scaling>
          <c:orientation val="minMax"/>
          <c:max val="1"/>
        </c:scaling>
        <c:delete val="1"/>
        <c:axPos val="l"/>
        <c:numFmt formatCode="0%" sourceLinked="0"/>
        <c:majorTickMark val="out"/>
        <c:minorTickMark val="none"/>
        <c:tickLblPos val="nextTo"/>
        <c:crossAx val="398784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4.2'!$B$6:$B$15</c:f>
              <c:numCache>
                <c:formatCode>0.0%</c:formatCode>
                <c:ptCount val="10"/>
                <c:pt idx="0">
                  <c:v>-3.0344175663233566E-2</c:v>
                </c:pt>
                <c:pt idx="1">
                  <c:v>5.3659260705387804E-2</c:v>
                </c:pt>
                <c:pt idx="2">
                  <c:v>1.3730400792741205E-2</c:v>
                </c:pt>
                <c:pt idx="3">
                  <c:v>1.5281842036144416E-2</c:v>
                </c:pt>
                <c:pt idx="4">
                  <c:v>1.9354170724134451E-2</c:v>
                </c:pt>
                <c:pt idx="5">
                  <c:v>2.1863351846543588E-2</c:v>
                </c:pt>
                <c:pt idx="6">
                  <c:v>-7.9659324862852276E-3</c:v>
                </c:pt>
                <c:pt idx="7">
                  <c:v>1.9787907423407875E-2</c:v>
                </c:pt>
                <c:pt idx="8">
                  <c:v>3.0054527476433258E-2</c:v>
                </c:pt>
                <c:pt idx="9">
                  <c:v>-1.6090895753477975E-2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2C-43F6-A106-0C8F5A9D9D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84128"/>
        <c:axId val="398780992"/>
      </c:barChart>
      <c:catAx>
        <c:axId val="3987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8780992"/>
        <c:crosses val="autoZero"/>
        <c:auto val="1"/>
        <c:lblAlgn val="ctr"/>
        <c:lblOffset val="100"/>
        <c:noMultiLvlLbl val="0"/>
      </c:catAx>
      <c:valAx>
        <c:axId val="39878099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8784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4.3'!$A$6:$A$17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4.3'!$B$6:$B$17</c:f>
              <c:numCache>
                <c:formatCode>0.0%</c:formatCode>
                <c:ptCount val="12"/>
                <c:pt idx="0">
                  <c:v>0.86018813803414507</c:v>
                </c:pt>
                <c:pt idx="1">
                  <c:v>0.81960473767868236</c:v>
                </c:pt>
                <c:pt idx="2">
                  <c:v>0.80465806241632698</c:v>
                </c:pt>
                <c:pt idx="3">
                  <c:v>0.81266209999750505</c:v>
                </c:pt>
                <c:pt idx="4">
                  <c:v>0.80362741685440575</c:v>
                </c:pt>
                <c:pt idx="5">
                  <c:v>0.79980942586443804</c:v>
                </c:pt>
                <c:pt idx="6">
                  <c:v>0.84156420532610554</c:v>
                </c:pt>
                <c:pt idx="7">
                  <c:v>0.80750551794550995</c:v>
                </c:pt>
                <c:pt idx="8">
                  <c:v>0.8131085825626243</c:v>
                </c:pt>
                <c:pt idx="9">
                  <c:v>0.80575185998892096</c:v>
                </c:pt>
                <c:pt idx="10">
                  <c:v>0.80880115734818492</c:v>
                </c:pt>
                <c:pt idx="11">
                  <c:v>0.8307591428322868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3-408A-9794-F1CA49737E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84912"/>
        <c:axId val="398778640"/>
      </c:barChart>
      <c:catAx>
        <c:axId val="39878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8778640"/>
        <c:crosses val="autoZero"/>
        <c:auto val="1"/>
        <c:lblAlgn val="ctr"/>
        <c:lblOffset val="100"/>
        <c:noMultiLvlLbl val="0"/>
      </c:catAx>
      <c:valAx>
        <c:axId val="398778640"/>
        <c:scaling>
          <c:orientation val="minMax"/>
          <c:min val="0"/>
        </c:scaling>
        <c:delete val="1"/>
        <c:axPos val="l"/>
        <c:numFmt formatCode="0%" sourceLinked="0"/>
        <c:majorTickMark val="out"/>
        <c:minorTickMark val="none"/>
        <c:tickLblPos val="nextTo"/>
        <c:crossAx val="39878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4.4'!$A$6:$A$17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4.4'!$B$6:$B$17</c:f>
              <c:numCache>
                <c:formatCode>0.0%</c:formatCode>
                <c:ptCount val="12"/>
                <c:pt idx="0">
                  <c:v>-4.826850962991193E-6</c:v>
                </c:pt>
                <c:pt idx="1">
                  <c:v>5.9492118178988721E-3</c:v>
                </c:pt>
                <c:pt idx="2">
                  <c:v>-5.4886657404240964E-3</c:v>
                </c:pt>
                <c:pt idx="3">
                  <c:v>-5.1735257799646918E-3</c:v>
                </c:pt>
                <c:pt idx="4">
                  <c:v>-7.9722205072400489E-3</c:v>
                </c:pt>
                <c:pt idx="5">
                  <c:v>-2.6772011725565668E-2</c:v>
                </c:pt>
                <c:pt idx="6">
                  <c:v>-2.1826234359712701E-2</c:v>
                </c:pt>
                <c:pt idx="7">
                  <c:v>-1.7963324444895207E-2</c:v>
                </c:pt>
                <c:pt idx="8">
                  <c:v>-5.0077920082019778E-2</c:v>
                </c:pt>
                <c:pt idx="9">
                  <c:v>-5.2970202574317497E-2</c:v>
                </c:pt>
                <c:pt idx="10">
                  <c:v>-7.1854419167128236E-3</c:v>
                </c:pt>
                <c:pt idx="11">
                  <c:v>-1.5452449612199919E-3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C1-470D-84CA-F109EEFEFA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76288"/>
        <c:axId val="398779424"/>
      </c:barChart>
      <c:catAx>
        <c:axId val="3987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8779424"/>
        <c:crosses val="autoZero"/>
        <c:auto val="1"/>
        <c:lblAlgn val="ctr"/>
        <c:lblOffset val="100"/>
        <c:noMultiLvlLbl val="0"/>
      </c:catAx>
      <c:valAx>
        <c:axId val="39877942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8776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4.5'!$B$5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BE79-4A8C-B4E2-E7CE3B2B73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BE79-4A8C-B4E2-E7CE3B2B734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5-BE79-4A8C-B4E2-E7CE3B2B73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BE79-4A8C-B4E2-E7CE3B2B73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BE79-4A8C-B4E2-E7CE3B2B7347}"/>
              </c:ext>
            </c:extLst>
          </c:dPt>
          <c:dPt>
            <c:idx val="5"/>
            <c:invertIfNegative val="0"/>
            <c:bubble3D val="0"/>
            <c:spPr>
              <a:solidFill>
                <a:srgbClr val="CCCC00"/>
              </a:solidFill>
            </c:spPr>
            <c:extLst>
              <c:ext xmlns:c16="http://schemas.microsoft.com/office/drawing/2014/chart" uri="{C3380CC4-5D6E-409C-BE32-E72D297353CC}">
                <c16:uniqueId val="{0000000B-BE79-4A8C-B4E2-E7CE3B2B734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BE79-4A8C-B4E2-E7CE3B2B7347}"/>
              </c:ext>
            </c:extLst>
          </c:dPt>
          <c:dPt>
            <c:idx val="7"/>
            <c:invertIfNegative val="0"/>
            <c:bubble3D val="0"/>
            <c:spPr>
              <a:solidFill>
                <a:srgbClr val="F0EA00"/>
              </a:solidFill>
            </c:spPr>
            <c:extLst>
              <c:ext xmlns:c16="http://schemas.microsoft.com/office/drawing/2014/chart" uri="{C3380CC4-5D6E-409C-BE32-E72D297353CC}">
                <c16:uniqueId val="{0000000F-BE79-4A8C-B4E2-E7CE3B2B73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BE79-4A8C-B4E2-E7CE3B2B734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BE79-4A8C-B4E2-E7CE3B2B73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BE79-4A8C-B4E2-E7CE3B2B734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BE79-4A8C-B4E2-E7CE3B2B7347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4.5'!$A$6:$A$18</c:f>
              <c:strCache>
                <c:ptCount val="13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Two</c:v>
                </c:pt>
                <c:pt idx="4">
                  <c:v>Absa</c:v>
                </c:pt>
                <c:pt idx="5">
                  <c:v>Modern</c:v>
                </c:pt>
                <c:pt idx="6">
                  <c:v>MAP</c:v>
                </c:pt>
                <c:pt idx="7">
                  <c:v>Passaredo</c:v>
                </c:pt>
                <c:pt idx="8">
                  <c:v>Sideral</c:v>
                </c:pt>
                <c:pt idx="9">
                  <c:v>Total Linhas Aéreas</c:v>
                </c:pt>
                <c:pt idx="10">
                  <c:v>Abaeté</c:v>
                </c:pt>
                <c:pt idx="11">
                  <c:v>Rio Linhas Aéreas</c:v>
                </c:pt>
                <c:pt idx="12">
                  <c:v>Indústria</c:v>
                </c:pt>
              </c:strCache>
            </c:strRef>
          </c:cat>
          <c:val>
            <c:numRef>
              <c:f>'Fig 4.5'!$B$6:$B$18</c:f>
              <c:numCache>
                <c:formatCode>0.0</c:formatCode>
                <c:ptCount val="13"/>
                <c:pt idx="0">
                  <c:v>9.6755969822248495</c:v>
                </c:pt>
                <c:pt idx="1">
                  <c:v>11.815640252194333</c:v>
                </c:pt>
                <c:pt idx="2">
                  <c:v>9.0438356103322999</c:v>
                </c:pt>
                <c:pt idx="3">
                  <c:v>0</c:v>
                </c:pt>
                <c:pt idx="4">
                  <c:v>12.316922480620159</c:v>
                </c:pt>
                <c:pt idx="5">
                  <c:v>1.166543665436653</c:v>
                </c:pt>
                <c:pt idx="6">
                  <c:v>5.2817164898746416</c:v>
                </c:pt>
                <c:pt idx="7">
                  <c:v>11.842172661870501</c:v>
                </c:pt>
                <c:pt idx="8">
                  <c:v>3.8456906729633995</c:v>
                </c:pt>
                <c:pt idx="9">
                  <c:v>3.0578051948051939</c:v>
                </c:pt>
                <c:pt idx="10">
                  <c:v>0.19786301369863013</c:v>
                </c:pt>
                <c:pt idx="11">
                  <c:v>0.81927777777777788</c:v>
                </c:pt>
                <c:pt idx="12">
                  <c:v>9.805532595011849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79-4A8C-B4E2-E7CE3B2B7347}"/>
            </c:ext>
          </c:extLst>
        </c:ser>
        <c:ser>
          <c:idx val="1"/>
          <c:order val="1"/>
          <c:tx>
            <c:strRef>
              <c:f>'Fig 4.5'!$C$5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A-BE79-4A8C-B4E2-E7CE3B2B73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C-BE79-4A8C-B4E2-E7CE3B2B734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E-BE79-4A8C-B4E2-E7CE3B2B734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BE79-4A8C-B4E2-E7CE3B2B73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BE79-4A8C-B4E2-E7CE3B2B73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BE79-4A8C-B4E2-E7CE3B2B734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BE79-4A8C-B4E2-E7CE3B2B7347}"/>
              </c:ext>
            </c:extLst>
          </c:dPt>
          <c:dPt>
            <c:idx val="7"/>
            <c:invertIfNegative val="0"/>
            <c:bubble3D val="0"/>
            <c:spPr>
              <a:solidFill>
                <a:srgbClr val="F0EA00"/>
              </a:solidFill>
            </c:spPr>
            <c:extLst>
              <c:ext xmlns:c16="http://schemas.microsoft.com/office/drawing/2014/chart" uri="{C3380CC4-5D6E-409C-BE32-E72D297353CC}">
                <c16:uniqueId val="{00000028-BE79-4A8C-B4E2-E7CE3B2B73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A-BE79-4A8C-B4E2-E7CE3B2B734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C-BE79-4A8C-B4E2-E7CE3B2B73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E-BE79-4A8C-B4E2-E7CE3B2B73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BE79-4A8C-B4E2-E7CE3B2B734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2-BE79-4A8C-B4E2-E7CE3B2B7347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4.5'!$A$6:$A$18</c:f>
              <c:strCache>
                <c:ptCount val="13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Two</c:v>
                </c:pt>
                <c:pt idx="4">
                  <c:v>Absa</c:v>
                </c:pt>
                <c:pt idx="5">
                  <c:v>Modern</c:v>
                </c:pt>
                <c:pt idx="6">
                  <c:v>MAP</c:v>
                </c:pt>
                <c:pt idx="7">
                  <c:v>Passaredo</c:v>
                </c:pt>
                <c:pt idx="8">
                  <c:v>Sideral</c:v>
                </c:pt>
                <c:pt idx="9">
                  <c:v>Total Linhas Aéreas</c:v>
                </c:pt>
                <c:pt idx="10">
                  <c:v>Abaeté</c:v>
                </c:pt>
                <c:pt idx="11">
                  <c:v>Rio Linhas Aéreas</c:v>
                </c:pt>
                <c:pt idx="12">
                  <c:v>Indústria</c:v>
                </c:pt>
              </c:strCache>
            </c:strRef>
          </c:cat>
          <c:val>
            <c:numRef>
              <c:f>'Fig 4.5'!$C$6:$C$18</c:f>
              <c:numCache>
                <c:formatCode>0.0</c:formatCode>
                <c:ptCount val="13"/>
                <c:pt idx="0">
                  <c:v>9.4508451717001627</c:v>
                </c:pt>
                <c:pt idx="1">
                  <c:v>11.66391137083029</c:v>
                </c:pt>
                <c:pt idx="2">
                  <c:v>9.2658664271508293</c:v>
                </c:pt>
                <c:pt idx="3">
                  <c:v>0.83777808219178107</c:v>
                </c:pt>
                <c:pt idx="4">
                  <c:v>12.730459599703492</c:v>
                </c:pt>
                <c:pt idx="5">
                  <c:v>2.0227374872318693</c:v>
                </c:pt>
                <c:pt idx="6">
                  <c:v>7.1038853503184702</c:v>
                </c:pt>
                <c:pt idx="7">
                  <c:v>10.89933156498674</c:v>
                </c:pt>
                <c:pt idx="8">
                  <c:v>3.6411985018726587</c:v>
                </c:pt>
                <c:pt idx="9">
                  <c:v>3.0957876712328769</c:v>
                </c:pt>
                <c:pt idx="10">
                  <c:v>0</c:v>
                </c:pt>
                <c:pt idx="11">
                  <c:v>0</c:v>
                </c:pt>
                <c:pt idx="12">
                  <c:v>9.5434543330674675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79-4A8C-B4E2-E7CE3B2B7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2"/>
        <c:axId val="398774328"/>
        <c:axId val="398780208"/>
      </c:barChart>
      <c:catAx>
        <c:axId val="39877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80208"/>
        <c:crosses val="autoZero"/>
        <c:auto val="1"/>
        <c:lblAlgn val="ctr"/>
        <c:lblOffset val="100"/>
        <c:noMultiLvlLbl val="0"/>
      </c:catAx>
      <c:valAx>
        <c:axId val="398780208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3987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505364202797302E-2"/>
          <c:y val="4.2141294838146021E-2"/>
          <c:w val="0.94799932503930695"/>
          <c:h val="0.7792603071000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4.6'!$B$5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4.6'!$A$6:$A$13</c:f>
              <c:strCache>
                <c:ptCount val="8"/>
                <c:pt idx="0">
                  <c:v>0 (cargueiros)</c:v>
                </c:pt>
                <c:pt idx="1">
                  <c:v>Até 50</c:v>
                </c:pt>
                <c:pt idx="2">
                  <c:v>51 a 100</c:v>
                </c:pt>
                <c:pt idx="3">
                  <c:v>101 a 150</c:v>
                </c:pt>
                <c:pt idx="4">
                  <c:v>151 a 200</c:v>
                </c:pt>
                <c:pt idx="5">
                  <c:v>201 a 250</c:v>
                </c:pt>
                <c:pt idx="6">
                  <c:v>251 a 300</c:v>
                </c:pt>
                <c:pt idx="7">
                  <c:v>Acima de 300</c:v>
                </c:pt>
              </c:strCache>
            </c:strRef>
          </c:cat>
          <c:val>
            <c:numRef>
              <c:f>'Fig 4.6'!$B$6:$B$13</c:f>
              <c:numCache>
                <c:formatCode>_(* #,##0.0_);_(* \(#,##0.0\);_(* "-"??_);_(@_)</c:formatCode>
                <c:ptCount val="8"/>
                <c:pt idx="0">
                  <c:v>5.377409757667726</c:v>
                </c:pt>
                <c:pt idx="1">
                  <c:v>3.5155286195286193</c:v>
                </c:pt>
                <c:pt idx="2">
                  <c:v>6.8681729514816432</c:v>
                </c:pt>
                <c:pt idx="3">
                  <c:v>9.4255402808263078</c:v>
                </c:pt>
                <c:pt idx="4">
                  <c:v>10.808713649798793</c:v>
                </c:pt>
                <c:pt idx="5">
                  <c:v>10.653182520725025</c:v>
                </c:pt>
                <c:pt idx="6">
                  <c:v>9.6253933463796475</c:v>
                </c:pt>
                <c:pt idx="7">
                  <c:v>11.237917465442438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181-B13F-D344773501F3}"/>
            </c:ext>
          </c:extLst>
        </c:ser>
        <c:ser>
          <c:idx val="1"/>
          <c:order val="1"/>
          <c:tx>
            <c:strRef>
              <c:f>'Fig 4.6'!$C$5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4.6'!$A$6:$A$13</c:f>
              <c:strCache>
                <c:ptCount val="8"/>
                <c:pt idx="0">
                  <c:v>0 (cargueiros)</c:v>
                </c:pt>
                <c:pt idx="1">
                  <c:v>Até 50</c:v>
                </c:pt>
                <c:pt idx="2">
                  <c:v>51 a 100</c:v>
                </c:pt>
                <c:pt idx="3">
                  <c:v>101 a 150</c:v>
                </c:pt>
                <c:pt idx="4">
                  <c:v>151 a 200</c:v>
                </c:pt>
                <c:pt idx="5">
                  <c:v>201 a 250</c:v>
                </c:pt>
                <c:pt idx="6">
                  <c:v>251 a 300</c:v>
                </c:pt>
                <c:pt idx="7">
                  <c:v>Acima de 300</c:v>
                </c:pt>
              </c:strCache>
            </c:strRef>
          </c:cat>
          <c:val>
            <c:numRef>
              <c:f>'Fig 4.6'!$C$6:$C$13</c:f>
              <c:numCache>
                <c:formatCode>_(* #,##0.0_);_(* \(#,##0.0\);_(* "-"??_);_(@_)</c:formatCode>
                <c:ptCount val="8"/>
                <c:pt idx="0">
                  <c:v>5.2882946635730868</c:v>
                </c:pt>
                <c:pt idx="1">
                  <c:v>1.825149270482604</c:v>
                </c:pt>
                <c:pt idx="2">
                  <c:v>6.512531761544099</c:v>
                </c:pt>
                <c:pt idx="3">
                  <c:v>9.4827593994951478</c:v>
                </c:pt>
                <c:pt idx="4">
                  <c:v>11.146622725183203</c:v>
                </c:pt>
                <c:pt idx="5">
                  <c:v>9.4154176682692299</c:v>
                </c:pt>
                <c:pt idx="6">
                  <c:v>12.433616438356166</c:v>
                </c:pt>
                <c:pt idx="7">
                  <c:v>10.764315771170232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181-B13F-D34477350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7"/>
        <c:axId val="398777464"/>
        <c:axId val="398777856"/>
      </c:barChart>
      <c:catAx>
        <c:axId val="3987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Assentos de Passageiros Instalados</a:t>
                </a:r>
              </a:p>
            </c:rich>
          </c:tx>
          <c:layout>
            <c:manualLayout>
              <c:xMode val="edge"/>
              <c:yMode val="edge"/>
              <c:x val="0.70755495926466949"/>
              <c:y val="0.91227266081871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777856"/>
        <c:crosses val="autoZero"/>
        <c:auto val="1"/>
        <c:lblAlgn val="ctr"/>
        <c:lblOffset val="100"/>
        <c:noMultiLvlLbl val="0"/>
      </c:catAx>
      <c:valAx>
        <c:axId val="39877785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398777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4.7'!$A$6:$A$15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4.7'!$B$6:$B$15</c:f>
              <c:numCache>
                <c:formatCode>0.0%</c:formatCode>
                <c:ptCount val="10"/>
                <c:pt idx="0">
                  <c:v>0.65870914954029358</c:v>
                </c:pt>
                <c:pt idx="1">
                  <c:v>0.68410868562007365</c:v>
                </c:pt>
                <c:pt idx="2">
                  <c:v>0.70168043936512858</c:v>
                </c:pt>
                <c:pt idx="3">
                  <c:v>0.72941714258543944</c:v>
                </c:pt>
                <c:pt idx="4">
                  <c:v>0.76133317139137135</c:v>
                </c:pt>
                <c:pt idx="5">
                  <c:v>0.79735816301326112</c:v>
                </c:pt>
                <c:pt idx="6">
                  <c:v>0.79828209133037398</c:v>
                </c:pt>
                <c:pt idx="7">
                  <c:v>0.80022371806840553</c:v>
                </c:pt>
                <c:pt idx="8">
                  <c:v>0.8147508949946598</c:v>
                </c:pt>
                <c:pt idx="9">
                  <c:v>0.81330917343367404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4B90-B0F0-19CDDAA23D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88048"/>
        <c:axId val="398786872"/>
      </c:barChart>
      <c:catAx>
        <c:axId val="3987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786872"/>
        <c:crosses val="autoZero"/>
        <c:auto val="1"/>
        <c:lblAlgn val="ctr"/>
        <c:lblOffset val="100"/>
        <c:noMultiLvlLbl val="0"/>
      </c:catAx>
      <c:valAx>
        <c:axId val="398786872"/>
        <c:scaling>
          <c:orientation val="minMax"/>
          <c:max val="1"/>
        </c:scaling>
        <c:delete val="1"/>
        <c:axPos val="l"/>
        <c:numFmt formatCode="0%" sourceLinked="0"/>
        <c:majorTickMark val="out"/>
        <c:minorTickMark val="none"/>
        <c:tickLblPos val="nextTo"/>
        <c:crossAx val="39878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2.5'!$B$6:$B$15</c:f>
              <c:numCache>
                <c:formatCode>0.0%</c:formatCode>
                <c:ptCount val="10"/>
                <c:pt idx="0">
                  <c:v>0.11629407360969939</c:v>
                </c:pt>
                <c:pt idx="1">
                  <c:v>0.15143179612444521</c:v>
                </c:pt>
                <c:pt idx="2">
                  <c:v>0.13420455110462901</c:v>
                </c:pt>
                <c:pt idx="3">
                  <c:v>3.4189104701784712E-2</c:v>
                </c:pt>
                <c:pt idx="4">
                  <c:v>-4.4566271614258218E-2</c:v>
                </c:pt>
                <c:pt idx="5">
                  <c:v>-5.0999227828592737E-3</c:v>
                </c:pt>
                <c:pt idx="6">
                  <c:v>-6.5594100140892479E-3</c:v>
                </c:pt>
                <c:pt idx="7">
                  <c:v>-0.1141229593608892</c:v>
                </c:pt>
                <c:pt idx="8">
                  <c:v>-2.8255757980825028E-2</c:v>
                </c:pt>
                <c:pt idx="9">
                  <c:v>1.2899269000039728E-2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5F-4471-8026-69F7BFD15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91848"/>
        <c:axId val="132589888"/>
      </c:barChart>
      <c:catAx>
        <c:axId val="13259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2589888"/>
        <c:crosses val="autoZero"/>
        <c:auto val="1"/>
        <c:lblAlgn val="ctr"/>
        <c:lblOffset val="100"/>
        <c:noMultiLvlLbl val="0"/>
      </c:catAx>
      <c:valAx>
        <c:axId val="13258988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25918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4.8'!$A$6:$A$15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4.8'!$B$6:$B$15</c:f>
              <c:numCache>
                <c:formatCode>0.0%</c:formatCode>
                <c:ptCount val="10"/>
                <c:pt idx="0">
                  <c:v>-1.2673017817273319E-3</c:v>
                </c:pt>
                <c:pt idx="1">
                  <c:v>3.8559561678331251E-2</c:v>
                </c:pt>
                <c:pt idx="2">
                  <c:v>2.5685617087477783E-2</c:v>
                </c:pt>
                <c:pt idx="3">
                  <c:v>3.9528967410587458E-2</c:v>
                </c:pt>
                <c:pt idx="4">
                  <c:v>4.3755523338544884E-2</c:v>
                </c:pt>
                <c:pt idx="5">
                  <c:v>4.7318300286394249E-2</c:v>
                </c:pt>
                <c:pt idx="6">
                  <c:v>1.1587368888546616E-3</c:v>
                </c:pt>
                <c:pt idx="7">
                  <c:v>2.4322564155181583E-3</c:v>
                </c:pt>
                <c:pt idx="8">
                  <c:v>1.8153894465063138E-2</c:v>
                </c:pt>
                <c:pt idx="9">
                  <c:v>-1.7695243660888699E-3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B8-490B-8613-C12670D72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90008"/>
        <c:axId val="398787264"/>
      </c:barChart>
      <c:catAx>
        <c:axId val="39879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8787264"/>
        <c:crosses val="autoZero"/>
        <c:auto val="1"/>
        <c:lblAlgn val="ctr"/>
        <c:lblOffset val="100"/>
        <c:noMultiLvlLbl val="0"/>
      </c:catAx>
      <c:valAx>
        <c:axId val="39878726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8790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4.9'!$A$6:$A$17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4.9'!$B$6:$B$17</c:f>
              <c:numCache>
                <c:formatCode>0.0%</c:formatCode>
                <c:ptCount val="12"/>
                <c:pt idx="0">
                  <c:v>0.84709732221423018</c:v>
                </c:pt>
                <c:pt idx="1">
                  <c:v>0.80340151728604747</c:v>
                </c:pt>
                <c:pt idx="2">
                  <c:v>0.80076072957770772</c:v>
                </c:pt>
                <c:pt idx="3">
                  <c:v>0.80491972501362818</c:v>
                </c:pt>
                <c:pt idx="4">
                  <c:v>0.76873126355639976</c:v>
                </c:pt>
                <c:pt idx="5">
                  <c:v>0.77918814366131472</c:v>
                </c:pt>
                <c:pt idx="6">
                  <c:v>0.8389520616038848</c:v>
                </c:pt>
                <c:pt idx="7">
                  <c:v>0.79995213993322623</c:v>
                </c:pt>
                <c:pt idx="8">
                  <c:v>0.80723707675033274</c:v>
                </c:pt>
                <c:pt idx="9">
                  <c:v>0.81462752394857196</c:v>
                </c:pt>
                <c:pt idx="10">
                  <c:v>0.83673066568765553</c:v>
                </c:pt>
                <c:pt idx="11">
                  <c:v>0.84337614080855006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73-4330-9C36-6021B2A7D8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788440"/>
        <c:axId val="398787656"/>
      </c:barChart>
      <c:catAx>
        <c:axId val="39878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8787656"/>
        <c:crosses val="autoZero"/>
        <c:auto val="1"/>
        <c:lblAlgn val="ctr"/>
        <c:lblOffset val="100"/>
        <c:noMultiLvlLbl val="0"/>
      </c:catAx>
      <c:valAx>
        <c:axId val="398787656"/>
        <c:scaling>
          <c:orientation val="minMax"/>
        </c:scaling>
        <c:delete val="1"/>
        <c:axPos val="l"/>
        <c:numFmt formatCode="0.0%" sourceLinked="0"/>
        <c:majorTickMark val="out"/>
        <c:minorTickMark val="none"/>
        <c:tickLblPos val="nextTo"/>
        <c:crossAx val="398788440"/>
        <c:crosses val="autoZero"/>
        <c:crossBetween val="between"/>
        <c:majorUnit val="2.5000000000000012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4.10'!$A$6:$A$17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4.10'!$B$6:$B$17</c:f>
              <c:numCache>
                <c:formatCode>0.0%</c:formatCode>
                <c:ptCount val="12"/>
                <c:pt idx="0">
                  <c:v>5.5625299115222605E-3</c:v>
                </c:pt>
                <c:pt idx="1">
                  <c:v>1.5596259942886589E-2</c:v>
                </c:pt>
                <c:pt idx="2">
                  <c:v>1.4244628748261261E-2</c:v>
                </c:pt>
                <c:pt idx="3">
                  <c:v>4.9978877835325421E-3</c:v>
                </c:pt>
                <c:pt idx="4">
                  <c:v>-1.1739078785837517E-2</c:v>
                </c:pt>
                <c:pt idx="5">
                  <c:v>-2.7648503093706416E-2</c:v>
                </c:pt>
                <c:pt idx="6">
                  <c:v>7.7105548528974888E-5</c:v>
                </c:pt>
                <c:pt idx="7">
                  <c:v>-3.0080504623362114E-3</c:v>
                </c:pt>
                <c:pt idx="8">
                  <c:v>-2.6046948795388276E-2</c:v>
                </c:pt>
                <c:pt idx="9">
                  <c:v>-2.1887146502384758E-2</c:v>
                </c:pt>
                <c:pt idx="10">
                  <c:v>1.329715084668274E-2</c:v>
                </c:pt>
                <c:pt idx="11">
                  <c:v>1.3626203387463854E-2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1F-426F-812D-763E796D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91800"/>
        <c:axId val="401691016"/>
      </c:barChart>
      <c:catAx>
        <c:axId val="40169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91016"/>
        <c:crosses val="autoZero"/>
        <c:auto val="1"/>
        <c:lblAlgn val="ctr"/>
        <c:lblOffset val="100"/>
        <c:noMultiLvlLbl val="0"/>
      </c:catAx>
      <c:valAx>
        <c:axId val="401691016"/>
        <c:scaling>
          <c:orientation val="minMax"/>
        </c:scaling>
        <c:delete val="1"/>
        <c:axPos val="l"/>
        <c:numFmt formatCode="0.0%" sourceLinked="0"/>
        <c:majorTickMark val="out"/>
        <c:minorTickMark val="none"/>
        <c:tickLblPos val="nextTo"/>
        <c:crossAx val="401691800"/>
        <c:crosses val="autoZero"/>
        <c:crossBetween val="between"/>
        <c:majorUnit val="2.5000000000000012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4.11'!$B$5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E17-41C2-9155-D347198B9F8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E17-41C2-9155-D347198B9F80}"/>
              </c:ext>
            </c:extLst>
          </c:dPt>
          <c:dPt>
            <c:idx val="2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E17-41C2-9155-D347198B9F80}"/>
              </c:ext>
            </c:extLst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E17-41C2-9155-D347198B9F80}"/>
              </c:ext>
            </c:extLst>
          </c:dPt>
          <c:dPt>
            <c:idx val="4"/>
            <c:invertIfNegative val="0"/>
            <c:bubble3D val="0"/>
            <c:spPr>
              <a:solidFill>
                <a:srgbClr val="F0EA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E17-41C2-9155-D347198B9F80}"/>
              </c:ext>
            </c:extLst>
          </c:dPt>
          <c:dPt>
            <c:idx val="5"/>
            <c:invertIfNegative val="0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E17-41C2-9155-D347198B9F80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E17-41C2-9155-D347198B9F80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DE17-41C2-9155-D347198B9F8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4.11'!$A$6:$A$9</c:f>
              <c:strCache>
                <c:ptCount val="4"/>
                <c:pt idx="0">
                  <c:v>Avianca</c:v>
                </c:pt>
                <c:pt idx="1">
                  <c:v>Latam</c:v>
                </c:pt>
                <c:pt idx="2">
                  <c:v>Azul</c:v>
                </c:pt>
                <c:pt idx="3">
                  <c:v>Gol</c:v>
                </c:pt>
              </c:strCache>
            </c:strRef>
          </c:cat>
          <c:val>
            <c:numRef>
              <c:f>'Fig 4.11'!$B$6:$B$9</c:f>
              <c:numCache>
                <c:formatCode>0.0%</c:formatCode>
                <c:ptCount val="4"/>
                <c:pt idx="0">
                  <c:v>0.85225931462556159</c:v>
                </c:pt>
                <c:pt idx="1">
                  <c:v>0.8252918223676553</c:v>
                </c:pt>
                <c:pt idx="2">
                  <c:v>0.80279242605532453</c:v>
                </c:pt>
                <c:pt idx="3">
                  <c:v>0.8019177409380025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17-41C2-9155-D347198B9F80}"/>
            </c:ext>
          </c:extLst>
        </c:ser>
        <c:ser>
          <c:idx val="1"/>
          <c:order val="1"/>
          <c:tx>
            <c:strRef>
              <c:f>'Fig 4.11'!$C$5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DE17-41C2-9155-D347198B9F8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DE17-41C2-9155-D347198B9F80}"/>
              </c:ext>
            </c:extLst>
          </c:dPt>
          <c:dPt>
            <c:idx val="2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DE17-41C2-9155-D347198B9F80}"/>
              </c:ext>
            </c:extLst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DE17-41C2-9155-D347198B9F80}"/>
              </c:ext>
            </c:extLst>
          </c:dPt>
          <c:dPt>
            <c:idx val="4"/>
            <c:invertIfNegative val="0"/>
            <c:bubble3D val="0"/>
            <c:spPr>
              <a:solidFill>
                <a:srgbClr val="F0EA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DE17-41C2-9155-D347198B9F80}"/>
              </c:ext>
            </c:extLst>
          </c:dPt>
          <c:dPt>
            <c:idx val="5"/>
            <c:invertIfNegative val="0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DE17-41C2-9155-D347198B9F80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DE17-41C2-9155-D347198B9F80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DE17-41C2-9155-D347198B9F80}"/>
              </c:ext>
            </c:extLst>
          </c:dPt>
          <c:dLbls>
            <c:dLbl>
              <c:idx val="0"/>
              <c:layout>
                <c:manualLayout>
                  <c:x val="6.420545746388439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17-41C2-9155-D347198B9F80}"/>
                </c:ext>
              </c:extLst>
            </c:dLbl>
            <c:dLbl>
              <c:idx val="1"/>
              <c:layout>
                <c:manualLayout>
                  <c:x val="8.5607276618512567E-3"/>
                  <c:y val="-1.06094453400175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17-41C2-9155-D347198B9F80}"/>
                </c:ext>
              </c:extLst>
            </c:dLbl>
            <c:dLbl>
              <c:idx val="3"/>
              <c:layout>
                <c:manualLayout>
                  <c:x val="6.420545746388439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17-41C2-9155-D347198B9F80}"/>
                </c:ext>
              </c:extLst>
            </c:dLbl>
            <c:dLbl>
              <c:idx val="4"/>
              <c:layout>
                <c:manualLayout>
                  <c:x val="1.284109149277696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E17-41C2-9155-D347198B9F80}"/>
                </c:ext>
              </c:extLst>
            </c:dLbl>
            <c:dLbl>
              <c:idx val="5"/>
              <c:layout>
                <c:manualLayout>
                  <c:x val="6.420545746388531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E17-41C2-9155-D347198B9F80}"/>
                </c:ext>
              </c:extLst>
            </c:dLbl>
            <c:dLbl>
              <c:idx val="6"/>
              <c:layout>
                <c:manualLayout>
                  <c:x val="4.28036383092569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E17-41C2-9155-D347198B9F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4.11'!$A$6:$A$9</c:f>
              <c:strCache>
                <c:ptCount val="4"/>
                <c:pt idx="0">
                  <c:v>Avianca</c:v>
                </c:pt>
                <c:pt idx="1">
                  <c:v>Latam</c:v>
                </c:pt>
                <c:pt idx="2">
                  <c:v>Azul</c:v>
                </c:pt>
                <c:pt idx="3">
                  <c:v>Gol</c:v>
                </c:pt>
              </c:strCache>
            </c:strRef>
          </c:cat>
          <c:val>
            <c:numRef>
              <c:f>'Fig 4.11'!$C$6:$C$9</c:f>
              <c:numCache>
                <c:formatCode>0.0%</c:formatCode>
                <c:ptCount val="4"/>
                <c:pt idx="0">
                  <c:v>0.84440691584811267</c:v>
                </c:pt>
                <c:pt idx="1">
                  <c:v>0.81297446095567971</c:v>
                </c:pt>
                <c:pt idx="2">
                  <c:v>0.80783057867646357</c:v>
                </c:pt>
                <c:pt idx="3">
                  <c:v>0.80786586205656619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E17-41C2-9155-D347198B9F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-57"/>
        <c:axId val="401690624"/>
        <c:axId val="401689448"/>
      </c:barChart>
      <c:catAx>
        <c:axId val="4016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1689448"/>
        <c:crosses val="autoZero"/>
        <c:auto val="1"/>
        <c:lblAlgn val="ctr"/>
        <c:lblOffset val="100"/>
        <c:noMultiLvlLbl val="0"/>
      </c:catAx>
      <c:valAx>
        <c:axId val="40168944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906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4.12'!$A$6:$A$15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4.12'!$B$6:$B$15</c:f>
              <c:numCache>
                <c:formatCode>0.0%</c:formatCode>
                <c:ptCount val="10"/>
                <c:pt idx="0">
                  <c:v>0.74669563285044749</c:v>
                </c:pt>
                <c:pt idx="1">
                  <c:v>0.79771826061128359</c:v>
                </c:pt>
                <c:pt idx="2">
                  <c:v>0.80096539381522636</c:v>
                </c:pt>
                <c:pt idx="3">
                  <c:v>0.79616251797412407</c:v>
                </c:pt>
                <c:pt idx="4">
                  <c:v>0.79573594132828263</c:v>
                </c:pt>
                <c:pt idx="5">
                  <c:v>0.79823243389358123</c:v>
                </c:pt>
                <c:pt idx="6">
                  <c:v>0.78671546601104037</c:v>
                </c:pt>
                <c:pt idx="7">
                  <c:v>0.81213649655242326</c:v>
                </c:pt>
                <c:pt idx="8">
                  <c:v>0.84373567998008492</c:v>
                </c:pt>
                <c:pt idx="9">
                  <c:v>0.8213094590528135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E-48A6-9A5B-2165BA0332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90232"/>
        <c:axId val="401692192"/>
      </c:barChart>
      <c:catAx>
        <c:axId val="4016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92192"/>
        <c:crosses val="autoZero"/>
        <c:auto val="1"/>
        <c:lblAlgn val="ctr"/>
        <c:lblOffset val="100"/>
        <c:noMultiLvlLbl val="0"/>
      </c:catAx>
      <c:valAx>
        <c:axId val="401692192"/>
        <c:scaling>
          <c:orientation val="minMax"/>
          <c:max val="1"/>
        </c:scaling>
        <c:delete val="1"/>
        <c:axPos val="l"/>
        <c:numFmt formatCode="0%" sourceLinked="0"/>
        <c:majorTickMark val="out"/>
        <c:minorTickMark val="none"/>
        <c:tickLblPos val="nextTo"/>
        <c:crossAx val="401690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4.13'!$A$6:$A$15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4.13'!$B$6:$B$15</c:f>
              <c:numCache>
                <c:formatCode>0.0%</c:formatCode>
                <c:ptCount val="10"/>
                <c:pt idx="0">
                  <c:v>-4.2564407677399579E-2</c:v>
                </c:pt>
                <c:pt idx="1">
                  <c:v>6.8331225624102737E-2</c:v>
                </c:pt>
                <c:pt idx="2">
                  <c:v>4.0705263553256496E-3</c:v>
                </c:pt>
                <c:pt idx="3">
                  <c:v>-5.9963587418238101E-3</c:v>
                </c:pt>
                <c:pt idx="4">
                  <c:v>-5.3579091732036525E-4</c:v>
                </c:pt>
                <c:pt idx="5">
                  <c:v>3.1373379479772284E-3</c:v>
                </c:pt>
                <c:pt idx="6">
                  <c:v>-1.4428088102564225E-2</c:v>
                </c:pt>
                <c:pt idx="7">
                  <c:v>3.2312864866223624E-2</c:v>
                </c:pt>
                <c:pt idx="8">
                  <c:v>3.8908710003555343E-2</c:v>
                </c:pt>
                <c:pt idx="9">
                  <c:v>-2.6579675909641227E-2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F4-42D1-B29D-2A7F75531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91408"/>
        <c:axId val="401693368"/>
      </c:barChart>
      <c:catAx>
        <c:axId val="40169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93368"/>
        <c:crosses val="autoZero"/>
        <c:auto val="1"/>
        <c:lblAlgn val="ctr"/>
        <c:lblOffset val="100"/>
        <c:noMultiLvlLbl val="0"/>
      </c:catAx>
      <c:valAx>
        <c:axId val="401693368"/>
        <c:scaling>
          <c:orientation val="minMax"/>
        </c:scaling>
        <c:delete val="1"/>
        <c:axPos val="l"/>
        <c:numFmt formatCode="0.0%" sourceLinked="0"/>
        <c:majorTickMark val="out"/>
        <c:minorTickMark val="none"/>
        <c:tickLblPos val="nextTo"/>
        <c:crossAx val="401691408"/>
        <c:crosses val="autoZero"/>
        <c:crossBetween val="between"/>
        <c:majorUnit val="2.5000000000000012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4.14'!$A$6:$A$17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4.14'!$B$6:$B$17</c:f>
              <c:numCache>
                <c:formatCode>0.0%</c:formatCode>
                <c:ptCount val="12"/>
                <c:pt idx="0">
                  <c:v>0.86965301472439793</c:v>
                </c:pt>
                <c:pt idx="1">
                  <c:v>0.83025438741646207</c:v>
                </c:pt>
                <c:pt idx="2">
                  <c:v>0.80730143539707389</c:v>
                </c:pt>
                <c:pt idx="3">
                  <c:v>0.81792356764064644</c:v>
                </c:pt>
                <c:pt idx="4">
                  <c:v>0.82755448100366569</c:v>
                </c:pt>
                <c:pt idx="5">
                  <c:v>0.8136626667771647</c:v>
                </c:pt>
                <c:pt idx="6">
                  <c:v>0.84347834378416775</c:v>
                </c:pt>
                <c:pt idx="7">
                  <c:v>0.81265679344057828</c:v>
                </c:pt>
                <c:pt idx="8">
                  <c:v>0.81703842069799881</c:v>
                </c:pt>
                <c:pt idx="9">
                  <c:v>0.79962363037574569</c:v>
                </c:pt>
                <c:pt idx="10">
                  <c:v>0.78995092488841256</c:v>
                </c:pt>
                <c:pt idx="11">
                  <c:v>0.82218972567385773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DF-4D4A-A5C1-6E889E051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93760"/>
        <c:axId val="401694152"/>
      </c:barChart>
      <c:catAx>
        <c:axId val="401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94152"/>
        <c:crosses val="autoZero"/>
        <c:auto val="1"/>
        <c:lblAlgn val="ctr"/>
        <c:lblOffset val="100"/>
        <c:noMultiLvlLbl val="0"/>
      </c:catAx>
      <c:valAx>
        <c:axId val="40169415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93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4.15'!$A$6:$A$17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4.15'!$B$6:$B$17</c:f>
              <c:numCache>
                <c:formatCode>0.0%</c:formatCode>
                <c:ptCount val="12"/>
                <c:pt idx="0">
                  <c:v>-5.6383813673174486E-3</c:v>
                </c:pt>
                <c:pt idx="1">
                  <c:v>-2.1840428704948053E-3</c:v>
                </c:pt>
                <c:pt idx="2">
                  <c:v>-2.0214412471489526E-2</c:v>
                </c:pt>
                <c:pt idx="3">
                  <c:v>-1.2477568522899045E-2</c:v>
                </c:pt>
                <c:pt idx="4">
                  <c:v>-7.4723652404879506E-3</c:v>
                </c:pt>
                <c:pt idx="5">
                  <c:v>-2.7040791823928302E-2</c:v>
                </c:pt>
                <c:pt idx="6">
                  <c:v>-3.786859013241093E-2</c:v>
                </c:pt>
                <c:pt idx="7">
                  <c:v>-2.8769968651423439E-2</c:v>
                </c:pt>
                <c:pt idx="8">
                  <c:v>-6.7141945310554021E-2</c:v>
                </c:pt>
                <c:pt idx="9">
                  <c:v>-7.414865072433513E-2</c:v>
                </c:pt>
                <c:pt idx="10">
                  <c:v>-2.0707701830087001E-2</c:v>
                </c:pt>
                <c:pt idx="11">
                  <c:v>-1.184992209364308E-2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DA-4853-9217-6D99FF1B68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89840"/>
        <c:axId val="401687880"/>
      </c:barChart>
      <c:catAx>
        <c:axId val="40168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87880"/>
        <c:crosses val="autoZero"/>
        <c:auto val="1"/>
        <c:lblAlgn val="ctr"/>
        <c:lblOffset val="100"/>
        <c:noMultiLvlLbl val="0"/>
      </c:catAx>
      <c:valAx>
        <c:axId val="401687880"/>
        <c:scaling>
          <c:orientation val="minMax"/>
        </c:scaling>
        <c:delete val="1"/>
        <c:axPos val="l"/>
        <c:numFmt formatCode="0.0%" sourceLinked="0"/>
        <c:majorTickMark val="out"/>
        <c:minorTickMark val="none"/>
        <c:tickLblPos val="nextTo"/>
        <c:crossAx val="401689840"/>
        <c:crosses val="autoZero"/>
        <c:crossBetween val="between"/>
        <c:majorUnit val="2.5000000000000012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AEB-451D-89D1-C7C5B49C00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AEB-451D-89D1-C7C5B49C00EE}"/>
              </c:ext>
            </c:extLst>
          </c:dPt>
          <c:dPt>
            <c:idx val="2"/>
            <c:invertIfNegative val="0"/>
            <c:bubble3D val="0"/>
            <c:spPr>
              <a:solidFill>
                <a:srgbClr val="8B493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AEB-451D-89D1-C7C5B49C00E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DAEB-451D-89D1-C7C5B49C00EE}"/>
              </c:ext>
            </c:extLst>
          </c:dPt>
          <c:dPt>
            <c:idx val="4"/>
            <c:invertIfNegative val="0"/>
            <c:bubble3D val="0"/>
            <c:spPr>
              <a:solidFill>
                <a:srgbClr val="B4B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DAEB-451D-89D1-C7C5B49C00EE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DAEB-451D-89D1-C7C5B49C00E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DAEB-451D-89D1-C7C5B49C00EE}"/>
              </c:ext>
            </c:extLst>
          </c:dPt>
          <c:dPt>
            <c:idx val="7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AEB-451D-89D1-C7C5B49C00EE}"/>
              </c:ext>
            </c:extLst>
          </c:dPt>
          <c:dPt>
            <c:idx val="8"/>
            <c:invertIfNegative val="0"/>
            <c:bubble3D val="0"/>
            <c:spPr>
              <a:solidFill>
                <a:srgbClr val="1F497D">
                  <a:lumMod val="40000"/>
                  <a:lumOff val="6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DAEB-451D-89D1-C7C5B49C00E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4.16'!$A$6:$A$14</c:f>
              <c:strCache>
                <c:ptCount val="9"/>
                <c:pt idx="0">
                  <c:v>Latam</c:v>
                </c:pt>
                <c:pt idx="1">
                  <c:v>Gol</c:v>
                </c:pt>
                <c:pt idx="2">
                  <c:v>TAP</c:v>
                </c:pt>
                <c:pt idx="3">
                  <c:v>American Airlines</c:v>
                </c:pt>
                <c:pt idx="4">
                  <c:v>Azul</c:v>
                </c:pt>
                <c:pt idx="5">
                  <c:v>Copa</c:v>
                </c:pt>
                <c:pt idx="6">
                  <c:v>Aerolineas Argentinas</c:v>
                </c:pt>
                <c:pt idx="7">
                  <c:v>United Air Lines</c:v>
                </c:pt>
                <c:pt idx="8">
                  <c:v>Delta Airlines</c:v>
                </c:pt>
              </c:strCache>
            </c:strRef>
          </c:cat>
          <c:val>
            <c:numRef>
              <c:f>'Fig 4.16'!$B$6:$B$14</c:f>
              <c:numCache>
                <c:formatCode>0.0%</c:formatCode>
                <c:ptCount val="9"/>
                <c:pt idx="0">
                  <c:v>0.85790017358384363</c:v>
                </c:pt>
                <c:pt idx="1">
                  <c:v>0.76088097399293109</c:v>
                </c:pt>
                <c:pt idx="2">
                  <c:v>0.86941101789702746</c:v>
                </c:pt>
                <c:pt idx="3">
                  <c:v>0.73694297749703797</c:v>
                </c:pt>
                <c:pt idx="4">
                  <c:v>0.89471284398911921</c:v>
                </c:pt>
                <c:pt idx="5">
                  <c:v>0.8324638174391954</c:v>
                </c:pt>
                <c:pt idx="6">
                  <c:v>0.79460092928790538</c:v>
                </c:pt>
                <c:pt idx="7">
                  <c:v>0.7727420093597086</c:v>
                </c:pt>
                <c:pt idx="8">
                  <c:v>0.8639835076356398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EB-451D-89D1-C7C5B49C00EE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DAEB-451D-89D1-C7C5B49C00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DAEB-451D-89D1-C7C5B49C00EE}"/>
              </c:ext>
            </c:extLst>
          </c:dPt>
          <c:dPt>
            <c:idx val="2"/>
            <c:invertIfNegative val="0"/>
            <c:bubble3D val="0"/>
            <c:spPr>
              <a:solidFill>
                <a:srgbClr val="8B493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DAEB-451D-89D1-C7C5B49C00E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DAEB-451D-89D1-C7C5B49C00EE}"/>
              </c:ext>
            </c:extLst>
          </c:dPt>
          <c:dPt>
            <c:idx val="4"/>
            <c:invertIfNegative val="0"/>
            <c:bubble3D val="0"/>
            <c:spPr>
              <a:solidFill>
                <a:srgbClr val="B4B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DAEB-451D-89D1-C7C5B49C00EE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DAEB-451D-89D1-C7C5B49C00E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DAEB-451D-89D1-C7C5B49C00EE}"/>
              </c:ext>
            </c:extLst>
          </c:dPt>
          <c:dPt>
            <c:idx val="7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DAEB-451D-89D1-C7C5B49C00EE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DAEB-451D-89D1-C7C5B49C00EE}"/>
              </c:ext>
            </c:extLst>
          </c:dPt>
          <c:dLbls>
            <c:dLbl>
              <c:idx val="0"/>
              <c:layout>
                <c:manualLayout>
                  <c:x val="6.420545746388439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AEB-451D-89D1-C7C5B49C00EE}"/>
                </c:ext>
              </c:extLst>
            </c:dLbl>
            <c:dLbl>
              <c:idx val="1"/>
              <c:layout>
                <c:manualLayout>
                  <c:x val="8.5607276618512567E-3"/>
                  <c:y val="-1.060944534001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AEB-451D-89D1-C7C5B49C00EE}"/>
                </c:ext>
              </c:extLst>
            </c:dLbl>
            <c:dLbl>
              <c:idx val="3"/>
              <c:layout>
                <c:manualLayout>
                  <c:x val="1.2434425951341555E-2"/>
                  <c:y val="-4.64576074332171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AEB-451D-89D1-C7C5B49C00EE}"/>
                </c:ext>
              </c:extLst>
            </c:dLbl>
            <c:dLbl>
              <c:idx val="4"/>
              <c:layout>
                <c:manualLayout>
                  <c:x val="1.284109149277696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AEB-451D-89D1-C7C5B49C00EE}"/>
                </c:ext>
              </c:extLst>
            </c:dLbl>
            <c:dLbl>
              <c:idx val="5"/>
              <c:layout>
                <c:manualLayout>
                  <c:x val="1.6443647160121824E-2"/>
                  <c:y val="-1.39372822299651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AEB-451D-89D1-C7C5B49C00EE}"/>
                </c:ext>
              </c:extLst>
            </c:dLbl>
            <c:dLbl>
              <c:idx val="6"/>
              <c:layout>
                <c:manualLayout>
                  <c:x val="4.28036383092569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AEB-451D-89D1-C7C5B49C00EE}"/>
                </c:ext>
              </c:extLst>
            </c:dLbl>
            <c:dLbl>
              <c:idx val="7"/>
              <c:layout>
                <c:manualLayout>
                  <c:x val="2.0046106043900974E-3"/>
                  <c:y val="-2.3228803716608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AEB-451D-89D1-C7C5B49C00EE}"/>
                </c:ext>
              </c:extLst>
            </c:dLbl>
            <c:dLbl>
              <c:idx val="8"/>
              <c:layout>
                <c:manualLayout>
                  <c:x val="1.403227423073068E-2"/>
                  <c:y val="1.3937282229965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AEB-451D-89D1-C7C5B49C00E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4.16'!$A$6:$A$14</c:f>
              <c:strCache>
                <c:ptCount val="9"/>
                <c:pt idx="0">
                  <c:v>Latam</c:v>
                </c:pt>
                <c:pt idx="1">
                  <c:v>Gol</c:v>
                </c:pt>
                <c:pt idx="2">
                  <c:v>TAP</c:v>
                </c:pt>
                <c:pt idx="3">
                  <c:v>American Airlines</c:v>
                </c:pt>
                <c:pt idx="4">
                  <c:v>Azul</c:v>
                </c:pt>
                <c:pt idx="5">
                  <c:v>Copa</c:v>
                </c:pt>
                <c:pt idx="6">
                  <c:v>Aerolineas Argentinas</c:v>
                </c:pt>
                <c:pt idx="7">
                  <c:v>United Air Lines</c:v>
                </c:pt>
                <c:pt idx="8">
                  <c:v>Delta Airlines</c:v>
                </c:pt>
              </c:strCache>
            </c:strRef>
          </c:cat>
          <c:val>
            <c:numRef>
              <c:f>'Fig 4.16'!$C$6:$C$14</c:f>
              <c:numCache>
                <c:formatCode>0.0%</c:formatCode>
                <c:ptCount val="9"/>
                <c:pt idx="0">
                  <c:v>0.83594299721016374</c:v>
                </c:pt>
                <c:pt idx="1">
                  <c:v>0.73877246210911451</c:v>
                </c:pt>
                <c:pt idx="2">
                  <c:v>0.82937708444498348</c:v>
                </c:pt>
                <c:pt idx="3">
                  <c:v>0.75733205141224402</c:v>
                </c:pt>
                <c:pt idx="4">
                  <c:v>0.86899358793126813</c:v>
                </c:pt>
                <c:pt idx="5">
                  <c:v>0.81830490738636785</c:v>
                </c:pt>
                <c:pt idx="6">
                  <c:v>0.74950653483269147</c:v>
                </c:pt>
                <c:pt idx="7">
                  <c:v>0.82993885873443218</c:v>
                </c:pt>
                <c:pt idx="8">
                  <c:v>0.82522260859130925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AEB-451D-89D1-C7C5B49C0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-57"/>
        <c:axId val="401688664"/>
        <c:axId val="401665928"/>
      </c:barChart>
      <c:catAx>
        <c:axId val="40168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1665928"/>
        <c:crosses val="autoZero"/>
        <c:auto val="1"/>
        <c:lblAlgn val="ctr"/>
        <c:lblOffset val="100"/>
        <c:noMultiLvlLbl val="0"/>
      </c:catAx>
      <c:valAx>
        <c:axId val="401665928"/>
        <c:scaling>
          <c:orientation val="minMax"/>
          <c:max val="1"/>
        </c:scaling>
        <c:delete val="1"/>
        <c:axPos val="l"/>
        <c:numFmt formatCode="0%" sourceLinked="0"/>
        <c:majorTickMark val="out"/>
        <c:minorTickMark val="none"/>
        <c:tickLblPos val="nextTo"/>
        <c:crossAx val="401688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5.1'!$B$5</c:f>
              <c:strCache>
                <c:ptCount val="1"/>
                <c:pt idx="0">
                  <c:v>Cancelamentos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-4.497850781595019E-2"/>
                  <c:y val="-5.5533904910366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28-4C64-B808-772B5C8D56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5.1'!$B$6:$B$15</c:f>
              <c:numCache>
                <c:formatCode>0.0%</c:formatCode>
                <c:ptCount val="10"/>
                <c:pt idx="0">
                  <c:v>8.9729369759337291E-2</c:v>
                </c:pt>
                <c:pt idx="1">
                  <c:v>8.3659060697632293E-2</c:v>
                </c:pt>
                <c:pt idx="2">
                  <c:v>7.9891877752103588E-2</c:v>
                </c:pt>
                <c:pt idx="3">
                  <c:v>7.493997644421968E-2</c:v>
                </c:pt>
                <c:pt idx="4">
                  <c:v>8.4753301705010692E-2</c:v>
                </c:pt>
                <c:pt idx="5">
                  <c:v>0.10132568662808419</c:v>
                </c:pt>
                <c:pt idx="6">
                  <c:v>0.12372840529000069</c:v>
                </c:pt>
                <c:pt idx="7">
                  <c:v>0.10436272879822452</c:v>
                </c:pt>
                <c:pt idx="8">
                  <c:v>8.7979932624523402E-2</c:v>
                </c:pt>
                <c:pt idx="9">
                  <c:v>3.817323405438678E-2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8-4C64-B808-772B5C8D5678}"/>
            </c:ext>
          </c:extLst>
        </c:ser>
        <c:ser>
          <c:idx val="1"/>
          <c:order val="1"/>
          <c:tx>
            <c:strRef>
              <c:f>'Fig 5.1'!$C$5</c:f>
              <c:strCache>
                <c:ptCount val="1"/>
                <c:pt idx="0">
                  <c:v>Atrasos &gt; 30 min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-3.795533133355837E-2"/>
                  <c:y val="4.7739672642244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28-4C64-B808-772B5C8D5678}"/>
                </c:ext>
              </c:extLst>
            </c:dLbl>
            <c:dLbl>
              <c:idx val="8"/>
              <c:layout>
                <c:manualLayout>
                  <c:x val="-3.6906831915399556E-2"/>
                  <c:y val="7.39470114949582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28-4C64-B808-772B5C8D56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5.1'!$C$6:$C$15</c:f>
              <c:numCache>
                <c:formatCode>0.0%</c:formatCode>
                <c:ptCount val="10"/>
                <c:pt idx="0">
                  <c:v>0.10744492063727452</c:v>
                </c:pt>
                <c:pt idx="1">
                  <c:v>0.13360920821532499</c:v>
                </c:pt>
                <c:pt idx="2">
                  <c:v>0.13130931193886428</c:v>
                </c:pt>
                <c:pt idx="3">
                  <c:v>0.10493933669948055</c:v>
                </c:pt>
                <c:pt idx="4">
                  <c:v>8.0661900974557624E-2</c:v>
                </c:pt>
                <c:pt idx="5">
                  <c:v>8.2451021258857851E-2</c:v>
                </c:pt>
                <c:pt idx="6">
                  <c:v>6.2703611721186658E-2</c:v>
                </c:pt>
                <c:pt idx="7">
                  <c:v>6.2146478028079939E-2</c:v>
                </c:pt>
                <c:pt idx="8">
                  <c:v>7.0156566528997003E-2</c:v>
                </c:pt>
                <c:pt idx="9">
                  <c:v>7.7779293795588816E-2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28-4C64-B808-772B5C8D5678}"/>
            </c:ext>
          </c:extLst>
        </c:ser>
        <c:ser>
          <c:idx val="2"/>
          <c:order val="2"/>
          <c:tx>
            <c:strRef>
              <c:f>'Fig 5.1'!$D$5</c:f>
              <c:strCache>
                <c:ptCount val="1"/>
                <c:pt idx="0">
                  <c:v>Atrasos &gt; 60 min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5.1'!$D$6:$D$15</c:f>
              <c:numCache>
                <c:formatCode>0.0%</c:formatCode>
                <c:ptCount val="10"/>
                <c:pt idx="0">
                  <c:v>4.148685856084311E-2</c:v>
                </c:pt>
                <c:pt idx="1">
                  <c:v>5.0140313810378687E-2</c:v>
                </c:pt>
                <c:pt idx="2">
                  <c:v>4.654453169273691E-2</c:v>
                </c:pt>
                <c:pt idx="3">
                  <c:v>3.5676014384830541E-2</c:v>
                </c:pt>
                <c:pt idx="4">
                  <c:v>3.1438482184032605E-2</c:v>
                </c:pt>
                <c:pt idx="5">
                  <c:v>3.2313692348981023E-2</c:v>
                </c:pt>
                <c:pt idx="6">
                  <c:v>2.4565144812223029E-2</c:v>
                </c:pt>
                <c:pt idx="7">
                  <c:v>2.4794699585244058E-2</c:v>
                </c:pt>
                <c:pt idx="8">
                  <c:v>2.6242111662736985E-2</c:v>
                </c:pt>
                <c:pt idx="9">
                  <c:v>2.8924536964845714E-2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8-4C64-B808-772B5C8D56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1666712"/>
        <c:axId val="401668280"/>
      </c:lineChart>
      <c:catAx>
        <c:axId val="40166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8280"/>
        <c:crosses val="autoZero"/>
        <c:auto val="1"/>
        <c:lblAlgn val="ctr"/>
        <c:lblOffset val="100"/>
        <c:noMultiLvlLbl val="0"/>
      </c:catAx>
      <c:valAx>
        <c:axId val="40166828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6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2.6'!$A$6:$A$17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2.6'!$B$6:$B$17</c:f>
              <c:numCache>
                <c:formatCode>0.0%</c:formatCode>
                <c:ptCount val="12"/>
                <c:pt idx="0">
                  <c:v>2.5386912842791202E-3</c:v>
                </c:pt>
                <c:pt idx="1">
                  <c:v>-8.4207798937686233E-4</c:v>
                </c:pt>
                <c:pt idx="2">
                  <c:v>-2.8115971194066322E-2</c:v>
                </c:pt>
                <c:pt idx="3">
                  <c:v>4.694910908857839E-2</c:v>
                </c:pt>
                <c:pt idx="4">
                  <c:v>2.4736944807192927E-2</c:v>
                </c:pt>
                <c:pt idx="5">
                  <c:v>3.7671069572266465E-2</c:v>
                </c:pt>
                <c:pt idx="6">
                  <c:v>4.0729603433427922E-2</c:v>
                </c:pt>
                <c:pt idx="7">
                  <c:v>1.5751389828514279E-2</c:v>
                </c:pt>
                <c:pt idx="8">
                  <c:v>1.1509381982919587E-2</c:v>
                </c:pt>
                <c:pt idx="9">
                  <c:v>2.0717143324558665E-2</c:v>
                </c:pt>
                <c:pt idx="10">
                  <c:v>-8.8097697308463455E-3</c:v>
                </c:pt>
                <c:pt idx="11">
                  <c:v>-3.618056626793252E-3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E5-4A1C-B34A-FFAB8E7B6F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92240"/>
        <c:axId val="132592632"/>
      </c:barChart>
      <c:catAx>
        <c:axId val="13259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2592632"/>
        <c:crosses val="autoZero"/>
        <c:auto val="1"/>
        <c:lblAlgn val="ctr"/>
        <c:lblOffset val="100"/>
        <c:noMultiLvlLbl val="0"/>
      </c:catAx>
      <c:valAx>
        <c:axId val="13259263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2592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5.2'!$B$16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5.2'!$A$6:$A$14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5.2'!$B$6:$B$14</c:f>
              <c:numCache>
                <c:formatCode>0.0%</c:formatCode>
                <c:ptCount val="9"/>
                <c:pt idx="0">
                  <c:v>-6.7651306121798746E-2</c:v>
                </c:pt>
                <c:pt idx="1">
                  <c:v>-4.5030184586274266E-2</c:v>
                </c:pt>
                <c:pt idx="2">
                  <c:v>-6.1982537489595077E-2</c:v>
                </c:pt>
                <c:pt idx="3">
                  <c:v>0.13094913724846707</c:v>
                </c:pt>
                <c:pt idx="4">
                  <c:v>0.19553674711995001</c:v>
                </c:pt>
                <c:pt idx="5">
                  <c:v>0.22109614459505858</c:v>
                </c:pt>
                <c:pt idx="6">
                  <c:v>-0.15651762783482057</c:v>
                </c:pt>
                <c:pt idx="7">
                  <c:v>-0.15697937723893463</c:v>
                </c:pt>
                <c:pt idx="8">
                  <c:v>-0.56611430680106678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0-409A-B41C-B78DBCF3B14D}"/>
            </c:ext>
          </c:extLst>
        </c:ser>
        <c:ser>
          <c:idx val="1"/>
          <c:order val="1"/>
          <c:tx>
            <c:strRef>
              <c:f>'Fig 5.2'!$C$16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5.2'!$A$6:$A$14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5.2'!$C$6:$C$14</c:f>
              <c:numCache>
                <c:formatCode>0.0%</c:formatCode>
                <c:ptCount val="9"/>
                <c:pt idx="0">
                  <c:v>0.24351348972911441</c:v>
                </c:pt>
                <c:pt idx="1">
                  <c:v>-1.7213606061898007E-2</c:v>
                </c:pt>
                <c:pt idx="2">
                  <c:v>-0.20082334489469569</c:v>
                </c:pt>
                <c:pt idx="3">
                  <c:v>-0.23134733350228143</c:v>
                </c:pt>
                <c:pt idx="4">
                  <c:v>2.2180487475302022E-2</c:v>
                </c:pt>
                <c:pt idx="5">
                  <c:v>-0.2395047294280748</c:v>
                </c:pt>
                <c:pt idx="6">
                  <c:v>-8.8851930186099898E-3</c:v>
                </c:pt>
                <c:pt idx="7">
                  <c:v>0.1288904658007784</c:v>
                </c:pt>
                <c:pt idx="8">
                  <c:v>0.10865308329251261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0-409A-B41C-B78DBCF3B14D}"/>
            </c:ext>
          </c:extLst>
        </c:ser>
        <c:ser>
          <c:idx val="2"/>
          <c:order val="2"/>
          <c:tx>
            <c:strRef>
              <c:f>'Fig 5.2'!$D$16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3"/>
              <c:layout>
                <c:manualLayout>
                  <c:x val="-7.3516276882401156E-17"/>
                  <c:y val="-1.646090534979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00-409A-B41C-B78DBCF3B14D}"/>
                </c:ext>
              </c:extLst>
            </c:dLbl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00-409A-B41C-B78DBCF3B14D}"/>
                </c:ext>
              </c:extLst>
            </c:dLbl>
            <c:dLbl>
              <c:idx val="6"/>
              <c:layout>
                <c:manualLayout>
                  <c:x val="6.015037593984889E-3"/>
                  <c:y val="7.544494464011847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00-409A-B41C-B78DBCF3B14D}"/>
                </c:ext>
              </c:extLst>
            </c:dLbl>
            <c:dLbl>
              <c:idx val="9"/>
              <c:layout>
                <c:manualLayout>
                  <c:x val="0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00-409A-B41C-B78DBCF3B1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5.2'!$A$6:$A$14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5.2'!$D$6:$D$14</c:f>
              <c:numCache>
                <c:formatCode>0.0%</c:formatCode>
                <c:ptCount val="9"/>
                <c:pt idx="0">
                  <c:v>0.2085830441185306</c:v>
                </c:pt>
                <c:pt idx="1">
                  <c:v>-7.1714391960934945E-2</c:v>
                </c:pt>
                <c:pt idx="2">
                  <c:v>-0.23350793127868891</c:v>
                </c:pt>
                <c:pt idx="3">
                  <c:v>-0.11877818399467113</c:v>
                </c:pt>
                <c:pt idx="4">
                  <c:v>2.7838817402989342E-2</c:v>
                </c:pt>
                <c:pt idx="5">
                  <c:v>-0.2397914621787979</c:v>
                </c:pt>
                <c:pt idx="6">
                  <c:v>9.344735183763624E-3</c:v>
                </c:pt>
                <c:pt idx="7">
                  <c:v>5.837586668540716E-2</c:v>
                </c:pt>
                <c:pt idx="8">
                  <c:v>0.10221834799665504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0-409A-B41C-B78DBCF3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64752"/>
        <c:axId val="401674160"/>
      </c:barChart>
      <c:catAx>
        <c:axId val="40166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74160"/>
        <c:crosses val="autoZero"/>
        <c:auto val="1"/>
        <c:lblAlgn val="ctr"/>
        <c:lblOffset val="100"/>
        <c:noMultiLvlLbl val="0"/>
      </c:catAx>
      <c:valAx>
        <c:axId val="4016741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4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5.3'!$B$5</c:f>
              <c:strCache>
                <c:ptCount val="1"/>
                <c:pt idx="0">
                  <c:v>Varição % no Índice de 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5.3'!$A$6:$A$17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5.3'!$B$6:$B$17</c:f>
              <c:numCache>
                <c:formatCode>0.0%</c:formatCode>
                <c:ptCount val="12"/>
                <c:pt idx="0">
                  <c:v>0.10752760195139377</c:v>
                </c:pt>
                <c:pt idx="1">
                  <c:v>0.12537336491914719</c:v>
                </c:pt>
                <c:pt idx="2">
                  <c:v>6.2449940825572918E-2</c:v>
                </c:pt>
                <c:pt idx="3">
                  <c:v>1.1462998507144381E-2</c:v>
                </c:pt>
                <c:pt idx="4">
                  <c:v>2.5505348509650159E-2</c:v>
                </c:pt>
                <c:pt idx="5">
                  <c:v>1.8231166423937507E-2</c:v>
                </c:pt>
                <c:pt idx="6">
                  <c:v>1.8281987592263411E-2</c:v>
                </c:pt>
                <c:pt idx="7">
                  <c:v>1.2989275138726454E-2</c:v>
                </c:pt>
                <c:pt idx="8">
                  <c:v>1.3790683165228242E-2</c:v>
                </c:pt>
                <c:pt idx="9">
                  <c:v>1.4246955643889204E-2</c:v>
                </c:pt>
                <c:pt idx="10">
                  <c:v>1.9442970822281167E-2</c:v>
                </c:pt>
                <c:pt idx="11">
                  <c:v>1.8768081002892959E-2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0A0-8C4C-E70DE4FEE4E9}"/>
            </c:ext>
          </c:extLst>
        </c:ser>
        <c:ser>
          <c:idx val="1"/>
          <c:order val="1"/>
          <c:tx>
            <c:strRef>
              <c:f>'Fig 5.3'!$C$5</c:f>
              <c:strCache>
                <c:ptCount val="1"/>
                <c:pt idx="0">
                  <c:v>Varição % no Índice de 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5.3'!$A$6:$A$17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5.3'!$C$6:$C$17</c:f>
              <c:numCache>
                <c:formatCode>0.0%</c:formatCode>
                <c:ptCount val="12"/>
                <c:pt idx="0">
                  <c:v>7.7378197510788671E-2</c:v>
                </c:pt>
                <c:pt idx="1">
                  <c:v>4.809079400594695E-2</c:v>
                </c:pt>
                <c:pt idx="2">
                  <c:v>6.5423897382279064E-2</c:v>
                </c:pt>
                <c:pt idx="3">
                  <c:v>5.1318699099293458E-2</c:v>
                </c:pt>
                <c:pt idx="4">
                  <c:v>7.1500188809458701E-2</c:v>
                </c:pt>
                <c:pt idx="5">
                  <c:v>7.5802732188852778E-2</c:v>
                </c:pt>
                <c:pt idx="6">
                  <c:v>0.10602681248051418</c:v>
                </c:pt>
                <c:pt idx="7">
                  <c:v>5.7695701500063028E-2</c:v>
                </c:pt>
                <c:pt idx="8">
                  <c:v>5.5973640856672155E-2</c:v>
                </c:pt>
                <c:pt idx="9">
                  <c:v>7.5157458139177638E-2</c:v>
                </c:pt>
                <c:pt idx="10">
                  <c:v>0.11911975545757027</c:v>
                </c:pt>
                <c:pt idx="11">
                  <c:v>0.12261218873997273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C-40A0-8C4C-E70DE4FEE4E9}"/>
            </c:ext>
          </c:extLst>
        </c:ser>
        <c:ser>
          <c:idx val="2"/>
          <c:order val="2"/>
          <c:tx>
            <c:strRef>
              <c:f>'Fig 5.3'!$D$5</c:f>
              <c:strCache>
                <c:ptCount val="1"/>
                <c:pt idx="0">
                  <c:v>Varição % no Índice de Atrasos &gt; 60 min</c:v>
                </c:pt>
              </c:strCache>
            </c:strRef>
          </c:tx>
          <c:spPr>
            <a:solidFill>
              <a:schemeClr val="tx2"/>
            </a:solidFill>
            <a:ln w="19050"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5.3'!$A$6:$A$17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5.3'!$D$6:$D$17</c:f>
              <c:numCache>
                <c:formatCode>0.0%</c:formatCode>
                <c:ptCount val="12"/>
                <c:pt idx="0">
                  <c:v>2.6530739883670024E-2</c:v>
                </c:pt>
                <c:pt idx="1">
                  <c:v>1.7296199252215386E-2</c:v>
                </c:pt>
                <c:pt idx="2">
                  <c:v>2.4417611281828962E-2</c:v>
                </c:pt>
                <c:pt idx="3">
                  <c:v>1.8189418046491559E-2</c:v>
                </c:pt>
                <c:pt idx="4">
                  <c:v>2.6628644348086514E-2</c:v>
                </c:pt>
                <c:pt idx="5">
                  <c:v>2.6742006392189124E-2</c:v>
                </c:pt>
                <c:pt idx="6">
                  <c:v>4.4439647936302375E-2</c:v>
                </c:pt>
                <c:pt idx="7">
                  <c:v>2.062271524013614E-2</c:v>
                </c:pt>
                <c:pt idx="8">
                  <c:v>2.1799011532125205E-2</c:v>
                </c:pt>
                <c:pt idx="9">
                  <c:v>2.6243023196272211E-2</c:v>
                </c:pt>
                <c:pt idx="10">
                  <c:v>4.5391835961803774E-2</c:v>
                </c:pt>
                <c:pt idx="11">
                  <c:v>4.571084603761532E-2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C-40A0-8C4C-E70DE4FE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5"/>
        <c:axId val="401669456"/>
        <c:axId val="401664360"/>
      </c:barChart>
      <c:catAx>
        <c:axId val="4016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4360"/>
        <c:crosses val="autoZero"/>
        <c:auto val="1"/>
        <c:lblAlgn val="ctr"/>
        <c:lblOffset val="100"/>
        <c:noMultiLvlLbl val="0"/>
      </c:catAx>
      <c:valAx>
        <c:axId val="4016643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9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5.4'!$B$19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5.4'!$A$6:$A$17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5.4'!$B$6:$B$17</c:f>
              <c:numCache>
                <c:formatCode>0.0%</c:formatCode>
                <c:ptCount val="12"/>
                <c:pt idx="0">
                  <c:v>0.35194974455241274</c:v>
                </c:pt>
                <c:pt idx="1">
                  <c:v>0.3840852856247538</c:v>
                </c:pt>
                <c:pt idx="2">
                  <c:v>4.8695213136801835E-2</c:v>
                </c:pt>
                <c:pt idx="3">
                  <c:v>-0.86486720223017444</c:v>
                </c:pt>
                <c:pt idx="4">
                  <c:v>-0.68570411405498366</c:v>
                </c:pt>
                <c:pt idx="5">
                  <c:v>-0.81418942503279856</c:v>
                </c:pt>
                <c:pt idx="6">
                  <c:v>-0.79448608674224996</c:v>
                </c:pt>
                <c:pt idx="7">
                  <c:v>-0.8684344612417817</c:v>
                </c:pt>
                <c:pt idx="8">
                  <c:v>-0.83508482209337853</c:v>
                </c:pt>
                <c:pt idx="9">
                  <c:v>-0.84735270165584486</c:v>
                </c:pt>
                <c:pt idx="10">
                  <c:v>-0.79347498551010465</c:v>
                </c:pt>
                <c:pt idx="11">
                  <c:v>-0.81991403904484805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4-499E-A4D9-73821371DF68}"/>
            </c:ext>
          </c:extLst>
        </c:ser>
        <c:ser>
          <c:idx val="1"/>
          <c:order val="1"/>
          <c:tx>
            <c:strRef>
              <c:f>'Fig 5.4'!$C$19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4.0100250626566416E-3"/>
                  <c:y val="2.057613168724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4-499E-A4D9-73821371DF6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5.4'!$A$6:$A$17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5.4'!$C$6:$C$17</c:f>
              <c:numCache>
                <c:formatCode>0.0%</c:formatCode>
                <c:ptCount val="12"/>
                <c:pt idx="0">
                  <c:v>9.067912217269769E-2</c:v>
                </c:pt>
                <c:pt idx="1">
                  <c:v>-0.2372882835610266</c:v>
                </c:pt>
                <c:pt idx="2">
                  <c:v>0.29968794636493856</c:v>
                </c:pt>
                <c:pt idx="3">
                  <c:v>-0.11844467495822131</c:v>
                </c:pt>
                <c:pt idx="4">
                  <c:v>0.1515109958051114</c:v>
                </c:pt>
                <c:pt idx="5">
                  <c:v>0.45357653162353323</c:v>
                </c:pt>
                <c:pt idx="6">
                  <c:v>0.54493039484318817</c:v>
                </c:pt>
                <c:pt idx="7">
                  <c:v>-0.15190687378244372</c:v>
                </c:pt>
                <c:pt idx="8">
                  <c:v>-0.16928490660235296</c:v>
                </c:pt>
                <c:pt idx="9">
                  <c:v>-0.17724188028426904</c:v>
                </c:pt>
                <c:pt idx="10">
                  <c:v>0.29747848685952322</c:v>
                </c:pt>
                <c:pt idx="11">
                  <c:v>0.25233169384727711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4-499E-A4D9-73821371DF68}"/>
            </c:ext>
          </c:extLst>
        </c:ser>
        <c:ser>
          <c:idx val="2"/>
          <c:order val="2"/>
          <c:tx>
            <c:strRef>
              <c:f>'Fig 5.4'!$D$19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2345679012345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C4-499E-A4D9-73821371DF68}"/>
                </c:ext>
              </c:extLst>
            </c:dLbl>
            <c:dLbl>
              <c:idx val="1"/>
              <c:layout>
                <c:manualLayout>
                  <c:x val="-4.0100250626566416E-3"/>
                  <c:y val="1.2345679012345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4-499E-A4D9-73821371DF68}"/>
                </c:ext>
              </c:extLst>
            </c:dLbl>
            <c:dLbl>
              <c:idx val="2"/>
              <c:layout>
                <c:manualLayout>
                  <c:x val="4.0100250626566416E-3"/>
                  <c:y val="8.23045267489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4-499E-A4D9-73821371DF68}"/>
                </c:ext>
              </c:extLst>
            </c:dLbl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4-499E-A4D9-73821371DF68}"/>
                </c:ext>
              </c:extLst>
            </c:dLbl>
            <c:dLbl>
              <c:idx val="7"/>
              <c:layout>
                <c:manualLayout>
                  <c:x val="4.0100250626567153E-3"/>
                  <c:y val="2.4691682058261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C4-499E-A4D9-73821371DF68}"/>
                </c:ext>
              </c:extLst>
            </c:dLbl>
            <c:dLbl>
              <c:idx val="11"/>
              <c:layout>
                <c:manualLayout>
                  <c:x val="0"/>
                  <c:y val="1.2345679012345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4-499E-A4D9-73821371DF6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5.4'!$A$6:$A$17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5.4'!$D$6:$D$17</c:f>
              <c:numCache>
                <c:formatCode>0.0%</c:formatCode>
                <c:ptCount val="12"/>
                <c:pt idx="0">
                  <c:v>0.1064110701303584</c:v>
                </c:pt>
                <c:pt idx="1">
                  <c:v>-0.3156079621314074</c:v>
                </c:pt>
                <c:pt idx="2">
                  <c:v>0.37575152453638172</c:v>
                </c:pt>
                <c:pt idx="3">
                  <c:v>-0.10947126640090678</c:v>
                </c:pt>
                <c:pt idx="4">
                  <c:v>3.7792633604917893E-2</c:v>
                </c:pt>
                <c:pt idx="5">
                  <c:v>0.34251594939558389</c:v>
                </c:pt>
                <c:pt idx="6">
                  <c:v>0.73568697424721974</c:v>
                </c:pt>
                <c:pt idx="7">
                  <c:v>-0.16069917217791535</c:v>
                </c:pt>
                <c:pt idx="8">
                  <c:v>-0.10377366444597488</c:v>
                </c:pt>
                <c:pt idx="9">
                  <c:v>-0.26882639806565151</c:v>
                </c:pt>
                <c:pt idx="10">
                  <c:v>0.30697245490021147</c:v>
                </c:pt>
                <c:pt idx="11">
                  <c:v>0.23453132248204164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C4-499E-A4D9-73821371DF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68672"/>
        <c:axId val="401670240"/>
      </c:barChart>
      <c:catAx>
        <c:axId val="4016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70240"/>
        <c:crosses val="autoZero"/>
        <c:auto val="1"/>
        <c:lblAlgn val="ctr"/>
        <c:lblOffset val="100"/>
        <c:noMultiLvlLbl val="0"/>
      </c:catAx>
      <c:valAx>
        <c:axId val="40167024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8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5.5'!$B$5</c:f>
              <c:strCache>
                <c:ptCount val="1"/>
                <c:pt idx="0">
                  <c:v>Cancelamentos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5"/>
              <c:layout>
                <c:manualLayout>
                  <c:x val="-4.3975196889894132E-2"/>
                  <c:y val="-4.8161981521525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52-407C-857F-95C92490D3F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5.5'!$B$6:$B$15</c:f>
              <c:numCache>
                <c:formatCode>0.0%</c:formatCode>
                <c:ptCount val="10"/>
                <c:pt idx="0">
                  <c:v>9.4159355379145257E-2</c:v>
                </c:pt>
                <c:pt idx="1">
                  <c:v>8.6554818730963948E-2</c:v>
                </c:pt>
                <c:pt idx="2">
                  <c:v>8.4933043076720102E-2</c:v>
                </c:pt>
                <c:pt idx="3">
                  <c:v>7.920357829451373E-2</c:v>
                </c:pt>
                <c:pt idx="4">
                  <c:v>9.1577552298329978E-2</c:v>
                </c:pt>
                <c:pt idx="5">
                  <c:v>0.11146140279246196</c:v>
                </c:pt>
                <c:pt idx="6">
                  <c:v>0.13795667756184263</c:v>
                </c:pt>
                <c:pt idx="7">
                  <c:v>0.11732042779963861</c:v>
                </c:pt>
                <c:pt idx="8">
                  <c:v>0.100139911634757</c:v>
                </c:pt>
                <c:pt idx="9">
                  <c:v>4.2282597174669138E-2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2-407C-857F-95C92490D3FD}"/>
            </c:ext>
          </c:extLst>
        </c:ser>
        <c:ser>
          <c:idx val="1"/>
          <c:order val="1"/>
          <c:tx>
            <c:strRef>
              <c:f>'Fig 5.5'!$C$5</c:f>
              <c:strCache>
                <c:ptCount val="1"/>
                <c:pt idx="0">
                  <c:v>Atrasos &gt; 30 min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3.29387767032783E-2"/>
                  <c:y val="-6.9785728327108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52-407C-857F-95C92490D3FD}"/>
                </c:ext>
              </c:extLst>
            </c:dLbl>
            <c:dLbl>
              <c:idx val="5"/>
              <c:layout>
                <c:manualLayout>
                  <c:x val="-3.7955331333558294E-2"/>
                  <c:y val="5.602516217810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52-407C-857F-95C92490D3FD}"/>
                </c:ext>
              </c:extLst>
            </c:dLbl>
            <c:dLbl>
              <c:idx val="6"/>
              <c:layout>
                <c:manualLayout>
                  <c:x val="-3.795533133355837E-2"/>
                  <c:y val="6.7819933162964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52-407C-857F-95C92490D3FD}"/>
                </c:ext>
              </c:extLst>
            </c:dLbl>
            <c:dLbl>
              <c:idx val="7"/>
              <c:layout>
                <c:manualLayout>
                  <c:x val="-3.6906831915399556E-2"/>
                  <c:y val="1.925488623927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52-407C-857F-95C92490D3FD}"/>
                </c:ext>
              </c:extLst>
            </c:dLbl>
            <c:dLbl>
              <c:idx val="8"/>
              <c:layout>
                <c:manualLayout>
                  <c:x val="-3.6906831915399556E-2"/>
                  <c:y val="1.925488623927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52-407C-857F-95C92490D3FD}"/>
                </c:ext>
              </c:extLst>
            </c:dLbl>
            <c:dLbl>
              <c:idx val="9"/>
              <c:layout>
                <c:manualLayout>
                  <c:x val="-3.7955331333558225E-2"/>
                  <c:y val="4.8161981521525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52-407C-857F-95C92490D3F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5.5'!$C$6:$C$15</c:f>
              <c:numCache>
                <c:formatCode>0.0%</c:formatCode>
                <c:ptCount val="10"/>
                <c:pt idx="0">
                  <c:v>0.10589233975790474</c:v>
                </c:pt>
                <c:pt idx="1">
                  <c:v>0.12996872552809746</c:v>
                </c:pt>
                <c:pt idx="2">
                  <c:v>0.1274566666557439</c:v>
                </c:pt>
                <c:pt idx="3">
                  <c:v>0.1022762562634817</c:v>
                </c:pt>
                <c:pt idx="4">
                  <c:v>7.7212390120829449E-2</c:v>
                </c:pt>
                <c:pt idx="5">
                  <c:v>7.8981305426452694E-2</c:v>
                </c:pt>
                <c:pt idx="6">
                  <c:v>5.9907365796706087E-2</c:v>
                </c:pt>
                <c:pt idx="7">
                  <c:v>5.86821742682751E-2</c:v>
                </c:pt>
                <c:pt idx="8">
                  <c:v>6.8201842319893721E-2</c:v>
                </c:pt>
                <c:pt idx="9">
                  <c:v>7.4907311724729017E-2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52-407C-857F-95C92490D3FD}"/>
            </c:ext>
          </c:extLst>
        </c:ser>
        <c:ser>
          <c:idx val="2"/>
          <c:order val="2"/>
          <c:tx>
            <c:strRef>
              <c:f>'Fig 5.5'!$D$5</c:f>
              <c:strCache>
                <c:ptCount val="1"/>
                <c:pt idx="0">
                  <c:v>Atrasos &gt; 60 min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5.5'!$D$6:$D$15</c:f>
              <c:numCache>
                <c:formatCode>0.0%</c:formatCode>
                <c:ptCount val="10"/>
                <c:pt idx="0">
                  <c:v>3.798628050526219E-2</c:v>
                </c:pt>
                <c:pt idx="1">
                  <c:v>4.5999742270596049E-2</c:v>
                </c:pt>
                <c:pt idx="2">
                  <c:v>4.1913930786799621E-2</c:v>
                </c:pt>
                <c:pt idx="3">
                  <c:v>3.2555416600219905E-2</c:v>
                </c:pt>
                <c:pt idx="4">
                  <c:v>2.8993266432659308E-2</c:v>
                </c:pt>
                <c:pt idx="5">
                  <c:v>2.9431859067737341E-2</c:v>
                </c:pt>
                <c:pt idx="6">
                  <c:v>2.214684621412457E-2</c:v>
                </c:pt>
                <c:pt idx="7">
                  <c:v>2.1911804629159367E-2</c:v>
                </c:pt>
                <c:pt idx="8">
                  <c:v>2.3840503214649089E-2</c:v>
                </c:pt>
                <c:pt idx="9">
                  <c:v>2.6161193307655581E-2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52-407C-857F-95C92490D3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1672200"/>
        <c:axId val="401667104"/>
      </c:lineChart>
      <c:catAx>
        <c:axId val="40167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7104"/>
        <c:crosses val="autoZero"/>
        <c:auto val="1"/>
        <c:lblAlgn val="ctr"/>
        <c:lblOffset val="100"/>
        <c:noMultiLvlLbl val="0"/>
      </c:catAx>
      <c:valAx>
        <c:axId val="40166710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72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5.6'!$B$16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5.6'!$A$6:$A$14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5.6'!$B$6:$B$14</c:f>
              <c:numCache>
                <c:formatCode>0.0%</c:formatCode>
                <c:ptCount val="9"/>
                <c:pt idx="0">
                  <c:v>-8.0762411951108032E-2</c:v>
                </c:pt>
                <c:pt idx="1">
                  <c:v>-1.8736977074433808E-2</c:v>
                </c:pt>
                <c:pt idx="2">
                  <c:v>-6.7458607093954487E-2</c:v>
                </c:pt>
                <c:pt idx="3">
                  <c:v>0.15622998695594753</c:v>
                </c:pt>
                <c:pt idx="4">
                  <c:v>0.2171258129869735</c:v>
                </c:pt>
                <c:pt idx="5">
                  <c:v>0.23770806849357654</c:v>
                </c:pt>
                <c:pt idx="6">
                  <c:v>-0.14958500108088851</c:v>
                </c:pt>
                <c:pt idx="7">
                  <c:v>-0.14644096076961746</c:v>
                </c:pt>
                <c:pt idx="8">
                  <c:v>-0.57776478444591006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4-4E15-9018-68660BDD0721}"/>
            </c:ext>
          </c:extLst>
        </c:ser>
        <c:ser>
          <c:idx val="1"/>
          <c:order val="1"/>
          <c:tx>
            <c:strRef>
              <c:f>'Fig 5.6'!$C$16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5.6'!$A$6:$A$14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5.6'!$C$6:$C$14</c:f>
              <c:numCache>
                <c:formatCode>0.0%</c:formatCode>
                <c:ptCount val="9"/>
                <c:pt idx="0">
                  <c:v>0.22736664262247022</c:v>
                </c:pt>
                <c:pt idx="1">
                  <c:v>-1.9328179622800788E-2</c:v>
                </c:pt>
                <c:pt idx="2">
                  <c:v>-0.19756055962355915</c:v>
                </c:pt>
                <c:pt idx="3">
                  <c:v>-0.24506045741529009</c:v>
                </c:pt>
                <c:pt idx="4">
                  <c:v>2.2909733824520575E-2</c:v>
                </c:pt>
                <c:pt idx="5">
                  <c:v>-0.24149942225895771</c:v>
                </c:pt>
                <c:pt idx="6">
                  <c:v>-2.0451433845190905E-2</c:v>
                </c:pt>
                <c:pt idx="7">
                  <c:v>0.16222418767406113</c:v>
                </c:pt>
                <c:pt idx="8">
                  <c:v>9.8318009847651655E-2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4-4E15-9018-68660BDD0721}"/>
            </c:ext>
          </c:extLst>
        </c:ser>
        <c:ser>
          <c:idx val="2"/>
          <c:order val="2"/>
          <c:tx>
            <c:strRef>
              <c:f>'Fig 5.6'!$D$16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14-4E15-9018-68660BDD072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5.6'!$A$6:$A$14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5.6'!$D$6:$D$14</c:f>
              <c:numCache>
                <c:formatCode>0.0%</c:formatCode>
                <c:ptCount val="9"/>
                <c:pt idx="0">
                  <c:v>0.21095673645182933</c:v>
                </c:pt>
                <c:pt idx="1">
                  <c:v>-8.8822486433976403E-2</c:v>
                </c:pt>
                <c:pt idx="2">
                  <c:v>-0.22327932529599651</c:v>
                </c:pt>
                <c:pt idx="3">
                  <c:v>-0.10941804896259677</c:v>
                </c:pt>
                <c:pt idx="4">
                  <c:v>1.5127396428295609E-2</c:v>
                </c:pt>
                <c:pt idx="5">
                  <c:v>-0.2475213283960872</c:v>
                </c:pt>
                <c:pt idx="6">
                  <c:v>-1.061286933104276E-2</c:v>
                </c:pt>
                <c:pt idx="7">
                  <c:v>8.8020983124460966E-2</c:v>
                </c:pt>
                <c:pt idx="8">
                  <c:v>9.734232839433167E-2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4-4E15-9018-68660BDD07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63184"/>
        <c:axId val="401669064"/>
      </c:barChart>
      <c:catAx>
        <c:axId val="40166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9064"/>
        <c:crosses val="autoZero"/>
        <c:auto val="1"/>
        <c:lblAlgn val="ctr"/>
        <c:lblOffset val="100"/>
        <c:noMultiLvlLbl val="0"/>
      </c:catAx>
      <c:valAx>
        <c:axId val="40166906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3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5.7'!$B$5</c:f>
              <c:strCache>
                <c:ptCount val="1"/>
                <c:pt idx="0">
                  <c:v>Varição % no Índice de Cancelamentos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5.7'!$A$6:$A$17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5.7'!$B$6:$B$17</c:f>
              <c:numCache>
                <c:formatCode>0.0%</c:formatCode>
                <c:ptCount val="12"/>
                <c:pt idx="0">
                  <c:v>0.12644283342108462</c:v>
                </c:pt>
                <c:pt idx="1">
                  <c:v>0.150093984962406</c:v>
                </c:pt>
                <c:pt idx="2">
                  <c:v>7.1518138971764608E-2</c:v>
                </c:pt>
                <c:pt idx="3">
                  <c:v>8.6449944703188529E-3</c:v>
                </c:pt>
                <c:pt idx="4">
                  <c:v>2.6284701712935617E-2</c:v>
                </c:pt>
                <c:pt idx="5">
                  <c:v>1.757265168991624E-2</c:v>
                </c:pt>
                <c:pt idx="6">
                  <c:v>1.8564373556142703E-2</c:v>
                </c:pt>
                <c:pt idx="7">
                  <c:v>1.3087544065804936E-2</c:v>
                </c:pt>
                <c:pt idx="8">
                  <c:v>1.3804951375893488E-2</c:v>
                </c:pt>
                <c:pt idx="9">
                  <c:v>1.566154483820351E-2</c:v>
                </c:pt>
                <c:pt idx="10">
                  <c:v>2.0323937081451488E-2</c:v>
                </c:pt>
                <c:pt idx="11">
                  <c:v>2.0371556694426651E-2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D-4AB0-AF54-8A5C2E20744A}"/>
            </c:ext>
          </c:extLst>
        </c:ser>
        <c:ser>
          <c:idx val="1"/>
          <c:order val="1"/>
          <c:tx>
            <c:strRef>
              <c:f>'Fig 5.7'!$C$5</c:f>
              <c:strCache>
                <c:ptCount val="1"/>
                <c:pt idx="0">
                  <c:v>Varição % no Índice de Atrasos &gt; 30 min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5.7'!$A$6:$A$17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5.7'!$C$6:$C$17</c:f>
              <c:numCache>
                <c:formatCode>0.0%</c:formatCode>
                <c:ptCount val="12"/>
                <c:pt idx="0">
                  <c:v>7.4365988223839774E-2</c:v>
                </c:pt>
                <c:pt idx="1">
                  <c:v>4.43436912529028E-2</c:v>
                </c:pt>
                <c:pt idx="2">
                  <c:v>6.3661342150607744E-2</c:v>
                </c:pt>
                <c:pt idx="3">
                  <c:v>4.5801646659543713E-2</c:v>
                </c:pt>
                <c:pt idx="4">
                  <c:v>6.9138610858356084E-2</c:v>
                </c:pt>
                <c:pt idx="5">
                  <c:v>7.2241308664544396E-2</c:v>
                </c:pt>
                <c:pt idx="6">
                  <c:v>0.10258361875766417</c:v>
                </c:pt>
                <c:pt idx="7">
                  <c:v>5.3639732694339845E-2</c:v>
                </c:pt>
                <c:pt idx="8">
                  <c:v>5.2679876815877068E-2</c:v>
                </c:pt>
                <c:pt idx="9">
                  <c:v>7.089148219441771E-2</c:v>
                </c:pt>
                <c:pt idx="10">
                  <c:v>0.11795564740481679</c:v>
                </c:pt>
                <c:pt idx="11">
                  <c:v>0.12247507774580754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D-4AB0-AF54-8A5C2E20744A}"/>
            </c:ext>
          </c:extLst>
        </c:ser>
        <c:ser>
          <c:idx val="2"/>
          <c:order val="2"/>
          <c:tx>
            <c:strRef>
              <c:f>'Fig 5.7'!$D$5</c:f>
              <c:strCache>
                <c:ptCount val="1"/>
                <c:pt idx="0">
                  <c:v>Varição % no Índice de Atrasos &gt; 60 min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5.7'!$A$6:$A$17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5.7'!$D$6:$D$17</c:f>
              <c:numCache>
                <c:formatCode>0.0%</c:formatCode>
                <c:ptCount val="12"/>
                <c:pt idx="0">
                  <c:v>2.3335960560681223E-2</c:v>
                </c:pt>
                <c:pt idx="1">
                  <c:v>1.4025581481071915E-2</c:v>
                </c:pt>
                <c:pt idx="2">
                  <c:v>2.2167372980021423E-2</c:v>
                </c:pt>
                <c:pt idx="3">
                  <c:v>1.5005342216076929E-2</c:v>
                </c:pt>
                <c:pt idx="4">
                  <c:v>2.4037003336366394E-2</c:v>
                </c:pt>
                <c:pt idx="5">
                  <c:v>2.4017398430359001E-2</c:v>
                </c:pt>
                <c:pt idx="6">
                  <c:v>4.2144135763316277E-2</c:v>
                </c:pt>
                <c:pt idx="7">
                  <c:v>1.7860066379913379E-2</c:v>
                </c:pt>
                <c:pt idx="8">
                  <c:v>1.9877438019099761E-2</c:v>
                </c:pt>
                <c:pt idx="9">
                  <c:v>2.132459095283927E-2</c:v>
                </c:pt>
                <c:pt idx="10">
                  <c:v>4.2619823543438518E-2</c:v>
                </c:pt>
                <c:pt idx="11">
                  <c:v>4.3581248001860085E-2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D-4AB0-AF54-8A5C2E20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72984"/>
        <c:axId val="401673376"/>
      </c:lineChart>
      <c:catAx>
        <c:axId val="4016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73376"/>
        <c:crosses val="autoZero"/>
        <c:auto val="1"/>
        <c:lblAlgn val="ctr"/>
        <c:lblOffset val="100"/>
        <c:noMultiLvlLbl val="0"/>
      </c:catAx>
      <c:valAx>
        <c:axId val="40167337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72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5.8'!$B$19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5.8'!$A$6:$A$17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5.8'!$B$6:$B$17</c:f>
              <c:numCache>
                <c:formatCode>0.00%</c:formatCode>
                <c:ptCount val="12"/>
                <c:pt idx="0">
                  <c:v>0.41646357106928522</c:v>
                </c:pt>
                <c:pt idx="1">
                  <c:v>0.47954703818730177</c:v>
                </c:pt>
                <c:pt idx="2">
                  <c:v>0.14226490244006179</c:v>
                </c:pt>
                <c:pt idx="3">
                  <c:v>-0.90970023500254382</c:v>
                </c:pt>
                <c:pt idx="4">
                  <c:v>-0.71629042093234296</c:v>
                </c:pt>
                <c:pt idx="5">
                  <c:v>-0.84444974958550589</c:v>
                </c:pt>
                <c:pt idx="6">
                  <c:v>-0.81791103382521646</c:v>
                </c:pt>
                <c:pt idx="7">
                  <c:v>-0.88572938087544062</c:v>
                </c:pt>
                <c:pt idx="8">
                  <c:v>-0.85439764596925727</c:v>
                </c:pt>
                <c:pt idx="9">
                  <c:v>-0.85394951710024047</c:v>
                </c:pt>
                <c:pt idx="10">
                  <c:v>-0.81447249607437255</c:v>
                </c:pt>
                <c:pt idx="11">
                  <c:v>-0.8313743440894269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326-A1F1-CE2F313059DB}"/>
            </c:ext>
          </c:extLst>
        </c:ser>
        <c:ser>
          <c:idx val="1"/>
          <c:order val="1"/>
          <c:tx>
            <c:strRef>
              <c:f>'Fig 5.8'!$C$19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5.8'!$A$6:$A$17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5.8'!$C$6:$C$17</c:f>
              <c:numCache>
                <c:formatCode>0.00%</c:formatCode>
                <c:ptCount val="12"/>
                <c:pt idx="0">
                  <c:v>8.5881142861067877E-2</c:v>
                </c:pt>
                <c:pt idx="1">
                  <c:v>-0.30189120585026441</c:v>
                </c:pt>
                <c:pt idx="2">
                  <c:v>0.35711606323319767</c:v>
                </c:pt>
                <c:pt idx="3">
                  <c:v>-0.22536943018564282</c:v>
                </c:pt>
                <c:pt idx="4">
                  <c:v>0.11461001484684996</c:v>
                </c:pt>
                <c:pt idx="5">
                  <c:v>0.42877523100491333</c:v>
                </c:pt>
                <c:pt idx="6">
                  <c:v>0.60589202936443953</c:v>
                </c:pt>
                <c:pt idx="7">
                  <c:v>-0.18188729297222631</c:v>
                </c:pt>
                <c:pt idx="8">
                  <c:v>-0.19008344819238007</c:v>
                </c:pt>
                <c:pt idx="9">
                  <c:v>-0.15983786477572307</c:v>
                </c:pt>
                <c:pt idx="10">
                  <c:v>0.26477305857021238</c:v>
                </c:pt>
                <c:pt idx="11">
                  <c:v>0.25894823262631306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D-4326-A1F1-CE2F313059DB}"/>
            </c:ext>
          </c:extLst>
        </c:ser>
        <c:ser>
          <c:idx val="2"/>
          <c:order val="2"/>
          <c:tx>
            <c:strRef>
              <c:f>'Fig 5.8'!$D$19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D-4326-A1F1-CE2F313059D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5.8'!$A$6:$A$17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5.8'!$D$6:$D$17</c:f>
              <c:numCache>
                <c:formatCode>0.00%</c:formatCode>
                <c:ptCount val="12"/>
                <c:pt idx="0">
                  <c:v>0.11036926133344838</c:v>
                </c:pt>
                <c:pt idx="1">
                  <c:v>-0.42630815409448852</c:v>
                </c:pt>
                <c:pt idx="2">
                  <c:v>0.47674480179910866</c:v>
                </c:pt>
                <c:pt idx="3">
                  <c:v>-0.23453517079781919</c:v>
                </c:pt>
                <c:pt idx="4">
                  <c:v>-4.4077379635116876E-2</c:v>
                </c:pt>
                <c:pt idx="5">
                  <c:v>0.35015185193266951</c:v>
                </c:pt>
                <c:pt idx="6">
                  <c:v>0.93303561877489471</c:v>
                </c:pt>
                <c:pt idx="7">
                  <c:v>-0.20979187677068792</c:v>
                </c:pt>
                <c:pt idx="8">
                  <c:v>-7.2901625798828237E-2</c:v>
                </c:pt>
                <c:pt idx="9">
                  <c:v>-0.28278571494118604</c:v>
                </c:pt>
                <c:pt idx="10">
                  <c:v>0.26255568317906941</c:v>
                </c:pt>
                <c:pt idx="11">
                  <c:v>0.25804940552816064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D-4326-A1F1-CE2F313059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73768"/>
        <c:axId val="401662008"/>
      </c:barChart>
      <c:catAx>
        <c:axId val="40167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2008"/>
        <c:crosses val="autoZero"/>
        <c:auto val="1"/>
        <c:lblAlgn val="ctr"/>
        <c:lblOffset val="100"/>
        <c:noMultiLvlLbl val="0"/>
      </c:catAx>
      <c:valAx>
        <c:axId val="40166200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73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5.9'!$B$5</c:f>
              <c:strCache>
                <c:ptCount val="1"/>
                <c:pt idx="0">
                  <c:v>Cancelamentos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5948709481446253E-2"/>
                  <c:y val="-2.4145257871354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8A-4A56-9E87-B2DCE3169DA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5.9'!$B$6:$B$15</c:f>
              <c:numCache>
                <c:formatCode>0.0%</c:formatCode>
                <c:ptCount val="10"/>
                <c:pt idx="0">
                  <c:v>6.0723382577687217E-2</c:v>
                </c:pt>
                <c:pt idx="1">
                  <c:v>6.3479042766323296E-2</c:v>
                </c:pt>
                <c:pt idx="2">
                  <c:v>4.543032058815491E-2</c:v>
                </c:pt>
                <c:pt idx="3">
                  <c:v>4.6509830194027157E-2</c:v>
                </c:pt>
                <c:pt idx="4">
                  <c:v>4.19634178107866E-2</c:v>
                </c:pt>
                <c:pt idx="5">
                  <c:v>4.0506947537827083E-2</c:v>
                </c:pt>
                <c:pt idx="6">
                  <c:v>3.8942734343733146E-2</c:v>
                </c:pt>
                <c:pt idx="7">
                  <c:v>3.4751650734207155E-2</c:v>
                </c:pt>
                <c:pt idx="8">
                  <c:v>2.7085497243511343E-2</c:v>
                </c:pt>
                <c:pt idx="9">
                  <c:v>1.575808913001096E-2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A-4A56-9E87-B2DCE3169DA2}"/>
            </c:ext>
          </c:extLst>
        </c:ser>
        <c:ser>
          <c:idx val="1"/>
          <c:order val="1"/>
          <c:tx>
            <c:strRef>
              <c:f>'Fig 5.9'!$C$5</c:f>
              <c:strCache>
                <c:ptCount val="1"/>
                <c:pt idx="0">
                  <c:v>Atrasos &gt; 30 min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5.9'!$C$6:$C$15</c:f>
              <c:numCache>
                <c:formatCode>0.0%</c:formatCode>
                <c:ptCount val="10"/>
                <c:pt idx="0">
                  <c:v>0.11724879777271577</c:v>
                </c:pt>
                <c:pt idx="1">
                  <c:v>0.15835396769248911</c:v>
                </c:pt>
                <c:pt idx="2">
                  <c:v>0.15655622123444066</c:v>
                </c:pt>
                <c:pt idx="3">
                  <c:v>0.12208815263214788</c:v>
                </c:pt>
                <c:pt idx="4">
                  <c:v>0.10117113413000517</c:v>
                </c:pt>
                <c:pt idx="5">
                  <c:v>0.10173121274747657</c:v>
                </c:pt>
                <c:pt idx="6">
                  <c:v>7.7649629133397305E-2</c:v>
                </c:pt>
                <c:pt idx="7">
                  <c:v>7.9165337247144404E-2</c:v>
                </c:pt>
                <c:pt idx="8">
                  <c:v>7.9210360075805439E-2</c:v>
                </c:pt>
                <c:pt idx="9">
                  <c:v>9.3022779276664053E-2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A-4A56-9E87-B2DCE3169DA2}"/>
            </c:ext>
          </c:extLst>
        </c:ser>
        <c:ser>
          <c:idx val="2"/>
          <c:order val="2"/>
          <c:tx>
            <c:strRef>
              <c:f>'Fig 5.9'!$D$5</c:f>
              <c:strCache>
                <c:ptCount val="1"/>
                <c:pt idx="0">
                  <c:v>Atrasos &gt; 60 min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7955331333558225E-2"/>
                  <c:y val="6.6640911724937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8A-4A56-9E87-B2DCE3169DA2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E8A-4A56-9E87-B2DCE3169DA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5.9'!$D$6:$D$15</c:f>
              <c:numCache>
                <c:formatCode>0.0%</c:formatCode>
                <c:ptCount val="10"/>
                <c:pt idx="0">
                  <c:v>6.3591495823842062E-2</c:v>
                </c:pt>
                <c:pt idx="1">
                  <c:v>7.8284231980730035E-2</c:v>
                </c:pt>
                <c:pt idx="2">
                  <c:v>7.6889490147236714E-2</c:v>
                </c:pt>
                <c:pt idx="3">
                  <c:v>5.5770997729975139E-2</c:v>
                </c:pt>
                <c:pt idx="4">
                  <c:v>4.5976630369908615E-2</c:v>
                </c:pt>
                <c:pt idx="5">
                  <c:v>4.8327193218917541E-2</c:v>
                </c:pt>
                <c:pt idx="6">
                  <c:v>3.7491022553759058E-2</c:v>
                </c:pt>
                <c:pt idx="7">
                  <c:v>3.8957309680301193E-2</c:v>
                </c:pt>
                <c:pt idx="8">
                  <c:v>3.7365761212886921E-2</c:v>
                </c:pt>
                <c:pt idx="9">
                  <c:v>4.3591407397288347E-2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A-4A56-9E87-B2DCE3169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1662400"/>
        <c:axId val="401662792"/>
      </c:lineChart>
      <c:catAx>
        <c:axId val="4016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2792"/>
        <c:crosses val="autoZero"/>
        <c:auto val="1"/>
        <c:lblAlgn val="ctr"/>
        <c:lblOffset val="100"/>
        <c:noMultiLvlLbl val="0"/>
      </c:catAx>
      <c:valAx>
        <c:axId val="40166279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2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5.10'!$B$17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5.10'!$A$6:$A$15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2017</c:v>
                </c:pt>
              </c:numCache>
            </c:numRef>
          </c:cat>
          <c:val>
            <c:numRef>
              <c:f>'Fig 5.10'!$B$6:$B$15</c:f>
              <c:numCache>
                <c:formatCode>0.0%</c:formatCode>
                <c:ptCount val="10"/>
                <c:pt idx="0">
                  <c:v>4.5380544885005224E-2</c:v>
                </c:pt>
                <c:pt idx="1">
                  <c:v>-0.28432568280225451</c:v>
                </c:pt>
                <c:pt idx="2">
                  <c:v>2.3761875150705169E-2</c:v>
                </c:pt>
                <c:pt idx="3">
                  <c:v>-9.7751644421707917E-2</c:v>
                </c:pt>
                <c:pt idx="4">
                  <c:v>-3.4708094548607883E-2</c:v>
                </c:pt>
                <c:pt idx="5">
                  <c:v>-3.861592366675394E-2</c:v>
                </c:pt>
                <c:pt idx="6">
                  <c:v>-0.10762170864872615</c:v>
                </c:pt>
                <c:pt idx="7">
                  <c:v>-0.22059825443485404</c:v>
                </c:pt>
                <c:pt idx="8">
                  <c:v>-0.41820934693063461</c:v>
                </c:pt>
                <c:pt idx="9">
                  <c:v>-0.22705878245311878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7-47D8-A4F0-BE8D95FCFDD4}"/>
            </c:ext>
          </c:extLst>
        </c:ser>
        <c:ser>
          <c:idx val="1"/>
          <c:order val="1"/>
          <c:tx>
            <c:strRef>
              <c:f>'Fig 5.10'!$C$17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5.10'!$A$6:$A$15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2017</c:v>
                </c:pt>
              </c:numCache>
            </c:numRef>
          </c:cat>
          <c:val>
            <c:numRef>
              <c:f>'Fig 5.10'!$C$6:$C$15</c:f>
              <c:numCache>
                <c:formatCode>0.0%</c:formatCode>
                <c:ptCount val="10"/>
                <c:pt idx="0">
                  <c:v>0.35058073686567609</c:v>
                </c:pt>
                <c:pt idx="1">
                  <c:v>-1.1352708645352864E-2</c:v>
                </c:pt>
                <c:pt idx="2">
                  <c:v>-0.22016415783744131</c:v>
                </c:pt>
                <c:pt idx="3">
                  <c:v>-0.17132717672586772</c:v>
                </c:pt>
                <c:pt idx="4">
                  <c:v>5.5359527427230031E-3</c:v>
                </c:pt>
                <c:pt idx="5">
                  <c:v>-0.2367177483065698</c:v>
                </c:pt>
                <c:pt idx="6">
                  <c:v>1.9519837128174893E-2</c:v>
                </c:pt>
                <c:pt idx="7">
                  <c:v>5.6871896497426191E-4</c:v>
                </c:pt>
                <c:pt idx="8">
                  <c:v>0.17437642232202874</c:v>
                </c:pt>
                <c:pt idx="9">
                  <c:v>-1.7907737409004272E-4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7-47D8-A4F0-BE8D95FCFDD4}"/>
            </c:ext>
          </c:extLst>
        </c:ser>
        <c:ser>
          <c:idx val="2"/>
          <c:order val="2"/>
          <c:tx>
            <c:strRef>
              <c:f>'Fig 5.10'!$D$17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7-47D8-A4F0-BE8D95FCFD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5.10'!$A$6:$A$15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2017</c:v>
                </c:pt>
              </c:numCache>
            </c:numRef>
          </c:cat>
          <c:val>
            <c:numRef>
              <c:f>'Fig 5.10'!$D$6:$D$15</c:f>
              <c:numCache>
                <c:formatCode>0.0%</c:formatCode>
                <c:ptCount val="10"/>
                <c:pt idx="0">
                  <c:v>0.23104875843130102</c:v>
                </c:pt>
                <c:pt idx="1">
                  <c:v>-1.7816382663582136E-2</c:v>
                </c:pt>
                <c:pt idx="2">
                  <c:v>-0.27466032583674949</c:v>
                </c:pt>
                <c:pt idx="3">
                  <c:v>-0.17561757470231454</c:v>
                </c:pt>
                <c:pt idx="4">
                  <c:v>5.112516576567893E-2</c:v>
                </c:pt>
                <c:pt idx="5">
                  <c:v>-0.22422511930439806</c:v>
                </c:pt>
                <c:pt idx="6">
                  <c:v>3.9110353003565024E-2</c:v>
                </c:pt>
                <c:pt idx="7">
                  <c:v>-4.0853654435461191E-2</c:v>
                </c:pt>
                <c:pt idx="8">
                  <c:v>0.16661365866284797</c:v>
                </c:pt>
                <c:pt idx="9">
                  <c:v>-4.1575287155175389E-2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7-47D8-A4F0-BE8D95FCFD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63576"/>
        <c:axId val="401663968"/>
      </c:barChart>
      <c:catAx>
        <c:axId val="40166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63968"/>
        <c:crosses val="autoZero"/>
        <c:auto val="1"/>
        <c:lblAlgn val="ctr"/>
        <c:lblOffset val="100"/>
        <c:noMultiLvlLbl val="0"/>
      </c:catAx>
      <c:valAx>
        <c:axId val="40166396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63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5.11'!$B$5</c:f>
              <c:strCache>
                <c:ptCount val="1"/>
                <c:pt idx="0">
                  <c:v>Varição % no Índice de Cancelamentos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5.11'!$B$6:$B$17</c:f>
              <c:numCache>
                <c:formatCode>0.0%</c:formatCode>
                <c:ptCount val="12"/>
                <c:pt idx="0">
                  <c:v>1.7156862745098041E-2</c:v>
                </c:pt>
                <c:pt idx="1">
                  <c:v>1.1278195488721804E-2</c:v>
                </c:pt>
                <c:pt idx="2">
                  <c:v>1.836019621583742E-2</c:v>
                </c:pt>
                <c:pt idx="3">
                  <c:v>2.817551963048499E-2</c:v>
                </c:pt>
                <c:pt idx="4">
                  <c:v>2.0745016686209074E-2</c:v>
                </c:pt>
                <c:pt idx="5">
                  <c:v>2.2118636322091215E-2</c:v>
                </c:pt>
                <c:pt idx="6">
                  <c:v>1.6669300047400852E-2</c:v>
                </c:pt>
                <c:pt idx="7">
                  <c:v>1.2445095168374817E-2</c:v>
                </c:pt>
                <c:pt idx="8">
                  <c:v>1.3711463123828991E-2</c:v>
                </c:pt>
                <c:pt idx="9">
                  <c:v>6.0730476434864428E-3</c:v>
                </c:pt>
                <c:pt idx="10">
                  <c:v>1.4387846291331547E-2</c:v>
                </c:pt>
                <c:pt idx="11">
                  <c:v>9.9095556429414072E-3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A-4D6D-8243-33E9C7B6BC2E}"/>
            </c:ext>
          </c:extLst>
        </c:ser>
        <c:ser>
          <c:idx val="1"/>
          <c:order val="1"/>
          <c:tx>
            <c:strRef>
              <c:f>'Fig 5.11'!$C$5</c:f>
              <c:strCache>
                <c:ptCount val="1"/>
                <c:pt idx="0">
                  <c:v>Varição % no Índice de Atrasos &gt; 30 min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5.11'!$C$6:$C$17</c:f>
              <c:numCache>
                <c:formatCode>0.0%</c:formatCode>
                <c:ptCount val="12"/>
                <c:pt idx="0">
                  <c:v>9.0169313558209743E-2</c:v>
                </c:pt>
                <c:pt idx="1">
                  <c:v>6.2957004972214098E-2</c:v>
                </c:pt>
                <c:pt idx="2">
                  <c:v>7.3529411764705885E-2</c:v>
                </c:pt>
                <c:pt idx="3">
                  <c:v>8.4695817490494291E-2</c:v>
                </c:pt>
                <c:pt idx="4">
                  <c:v>8.5843234779404989E-2</c:v>
                </c:pt>
                <c:pt idx="5">
                  <c:v>9.6924946256659497E-2</c:v>
                </c:pt>
                <c:pt idx="6">
                  <c:v>0.12565276773519723</c:v>
                </c:pt>
                <c:pt idx="7">
                  <c:v>8.0141668725805124E-2</c:v>
                </c:pt>
                <c:pt idx="8">
                  <c:v>7.4259563077454446E-2</c:v>
                </c:pt>
                <c:pt idx="9">
                  <c:v>9.95697074010327E-2</c:v>
                </c:pt>
                <c:pt idx="10">
                  <c:v>0.12575936168283616</c:v>
                </c:pt>
                <c:pt idx="11">
                  <c:v>0.12336166494558742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A-4D6D-8243-33E9C7B6BC2E}"/>
            </c:ext>
          </c:extLst>
        </c:ser>
        <c:ser>
          <c:idx val="2"/>
          <c:order val="2"/>
          <c:tx>
            <c:strRef>
              <c:f>'Fig 5.11'!$D$5</c:f>
              <c:strCache>
                <c:ptCount val="1"/>
                <c:pt idx="0">
                  <c:v>Varição % no Índice de Atrasos &gt; 60 min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5.11'!$D$6:$D$17</c:f>
              <c:numCache>
                <c:formatCode>0.0%</c:formatCode>
                <c:ptCount val="12"/>
                <c:pt idx="0">
                  <c:v>4.0097125607035045E-2</c:v>
                </c:pt>
                <c:pt idx="1">
                  <c:v>3.0272009359461831E-2</c:v>
                </c:pt>
                <c:pt idx="2">
                  <c:v>3.4765848086807535E-2</c:v>
                </c:pt>
                <c:pt idx="3">
                  <c:v>3.7452471482889736E-2</c:v>
                </c:pt>
                <c:pt idx="4">
                  <c:v>4.2368978539191304E-2</c:v>
                </c:pt>
                <c:pt idx="5">
                  <c:v>4.2901205720160762E-2</c:v>
                </c:pt>
                <c:pt idx="6">
                  <c:v>5.7523901341688763E-2</c:v>
                </c:pt>
                <c:pt idx="7">
                  <c:v>3.5911374680833538E-2</c:v>
                </c:pt>
                <c:pt idx="8">
                  <c:v>3.2466971764096367E-2</c:v>
                </c:pt>
                <c:pt idx="9">
                  <c:v>5.4388984509466436E-2</c:v>
                </c:pt>
                <c:pt idx="10">
                  <c:v>6.1202284885302383E-2</c:v>
                </c:pt>
                <c:pt idx="11">
                  <c:v>5.7351656207800458E-2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A-4D6D-8243-33E9C7B6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80432"/>
        <c:axId val="401680824"/>
      </c:lineChart>
      <c:catAx>
        <c:axId val="40168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80824"/>
        <c:crosses val="autoZero"/>
        <c:auto val="1"/>
        <c:lblAlgn val="ctr"/>
        <c:lblOffset val="100"/>
        <c:noMultiLvlLbl val="0"/>
      </c:catAx>
      <c:valAx>
        <c:axId val="40168082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80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2.2339120260570052E-2"/>
          <c:w val="0.86824043414275265"/>
          <c:h val="0.943273566707775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CC6F-4A88-8249-C7BD69BF056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CC6F-4A88-8249-C7BD69BF056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CC6F-4A88-8249-C7BD69BF056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CC6F-4A88-8249-C7BD69BF0560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C6F-4A88-8249-C7BD69BF0560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CC6F-4A88-8249-C7BD69BF0560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CC6F-4A88-8249-C7BD69BF0560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CC6F-4A88-8249-C7BD69BF056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2.7'!$A$6:$A$10</c:f>
              <c:strCache>
                <c:ptCount val="5"/>
                <c:pt idx="0">
                  <c:v> Azul </c:v>
                </c:pt>
                <c:pt idx="1">
                  <c:v> Gol </c:v>
                </c:pt>
                <c:pt idx="2">
                  <c:v> Latam </c:v>
                </c:pt>
                <c:pt idx="3">
                  <c:v> Avianca </c:v>
                </c:pt>
                <c:pt idx="4">
                  <c:v> Outras </c:v>
                </c:pt>
              </c:strCache>
            </c:strRef>
          </c:cat>
          <c:val>
            <c:numRef>
              <c:f>'Fig 2.7'!$B$6:$B$10</c:f>
              <c:numCache>
                <c:formatCode>_(* #,##0_);_(* \(#,##0\);_(* "-"??_);_(@_)</c:formatCode>
                <c:ptCount val="5"/>
                <c:pt idx="0">
                  <c:v>251333</c:v>
                </c:pt>
                <c:pt idx="1">
                  <c:v>235852</c:v>
                </c:pt>
                <c:pt idx="2">
                  <c:v>202375</c:v>
                </c:pt>
                <c:pt idx="3">
                  <c:v>91979</c:v>
                </c:pt>
                <c:pt idx="4">
                  <c:v>34323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6F-4A88-8249-C7BD69BF05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5.12'!$B$19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5.12'!$A$6:$A$17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5.12'!$B$6:$B$17</c:f>
              <c:numCache>
                <c:formatCode>0.00%</c:formatCode>
                <c:ptCount val="12"/>
                <c:pt idx="0">
                  <c:v>-0.38980088159294723</c:v>
                </c:pt>
                <c:pt idx="1">
                  <c:v>-0.67597770169129923</c:v>
                </c:pt>
                <c:pt idx="2">
                  <c:v>-0.57987551011995553</c:v>
                </c:pt>
                <c:pt idx="3">
                  <c:v>-2.1471818238561771E-2</c:v>
                </c:pt>
                <c:pt idx="4">
                  <c:v>-8.283353939420408E-3</c:v>
                </c:pt>
                <c:pt idx="5">
                  <c:v>1.7849445219069802E-2</c:v>
                </c:pt>
                <c:pt idx="6">
                  <c:v>-0.29903584951276119</c:v>
                </c:pt>
                <c:pt idx="7">
                  <c:v>-0.45390296232860944</c:v>
                </c:pt>
                <c:pt idx="8">
                  <c:v>-0.54566425269736096</c:v>
                </c:pt>
                <c:pt idx="9">
                  <c:v>-0.76755117366776682</c:v>
                </c:pt>
                <c:pt idx="10">
                  <c:v>-0.28002795536307601</c:v>
                </c:pt>
                <c:pt idx="11">
                  <c:v>-0.60089062136698379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EAA-B709-5B666433E05D}"/>
            </c:ext>
          </c:extLst>
        </c:ser>
        <c:ser>
          <c:idx val="1"/>
          <c:order val="1"/>
          <c:tx>
            <c:strRef>
              <c:f>'Fig 5.12'!$C$19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5.12'!$A$6:$A$17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5.12'!$C$6:$C$17</c:f>
              <c:numCache>
                <c:formatCode>0.00%</c:formatCode>
                <c:ptCount val="12"/>
                <c:pt idx="0">
                  <c:v>8.4707650600873777E-2</c:v>
                </c:pt>
                <c:pt idx="1">
                  <c:v>3.516008989591643E-2</c:v>
                </c:pt>
                <c:pt idx="2">
                  <c:v>8.543417366946772E-2</c:v>
                </c:pt>
                <c:pt idx="3">
                  <c:v>0.57292232482346528</c:v>
                </c:pt>
                <c:pt idx="4">
                  <c:v>0.37572007282445702</c:v>
                </c:pt>
                <c:pt idx="5">
                  <c:v>0.6275954930268417</c:v>
                </c:pt>
                <c:pt idx="6">
                  <c:v>0.38778085207698793</c:v>
                </c:pt>
                <c:pt idx="7">
                  <c:v>1.751563756525008E-2</c:v>
                </c:pt>
                <c:pt idx="8">
                  <c:v>-4.5453675397489526E-2</c:v>
                </c:pt>
                <c:pt idx="9">
                  <c:v>-0.18544273830509461</c:v>
                </c:pt>
                <c:pt idx="10">
                  <c:v>0.47173630612745671</c:v>
                </c:pt>
                <c:pt idx="11">
                  <c:v>0.22630002656944631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3-4EAA-B709-5B666433E05D}"/>
            </c:ext>
          </c:extLst>
        </c:ser>
        <c:ser>
          <c:idx val="2"/>
          <c:order val="2"/>
          <c:tx>
            <c:strRef>
              <c:f>'Fig 5.12'!$D$19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5"/>
              <c:layout>
                <c:manualLayout>
                  <c:x val="2.0050125313284001E-3"/>
                  <c:y val="-2.880658436213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33-4EAA-B709-5B666433E05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5.12'!$A$6:$A$17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5.12'!$D$6:$D$17</c:f>
              <c:numCache>
                <c:formatCode>0.00%</c:formatCode>
                <c:ptCount val="12"/>
                <c:pt idx="0">
                  <c:v>3.7484041093438614E-2</c:v>
                </c:pt>
                <c:pt idx="1">
                  <c:v>3.6260478581803597E-2</c:v>
                </c:pt>
                <c:pt idx="2">
                  <c:v>9.8668306044257525E-2</c:v>
                </c:pt>
                <c:pt idx="3">
                  <c:v>0.53752251350810498</c:v>
                </c:pt>
                <c:pt idx="4">
                  <c:v>0.50496933359072682</c:v>
                </c:pt>
                <c:pt idx="5">
                  <c:v>0.43702059793520021</c:v>
                </c:pt>
                <c:pt idx="6">
                  <c:v>0.33332185609842874</c:v>
                </c:pt>
                <c:pt idx="7">
                  <c:v>8.3379436167801108E-2</c:v>
                </c:pt>
                <c:pt idx="8">
                  <c:v>-0.12660498844089624</c:v>
                </c:pt>
                <c:pt idx="9">
                  <c:v>-0.13925456210808154</c:v>
                </c:pt>
                <c:pt idx="10">
                  <c:v>0.56968618782457536</c:v>
                </c:pt>
                <c:pt idx="11">
                  <c:v>0.21212136741823426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3-4EAA-B709-5B666433E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81216"/>
        <c:axId val="401674552"/>
      </c:barChart>
      <c:catAx>
        <c:axId val="401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1674552"/>
        <c:crosses val="autoZero"/>
        <c:auto val="1"/>
        <c:lblAlgn val="ctr"/>
        <c:lblOffset val="100"/>
        <c:noMultiLvlLbl val="0"/>
      </c:catAx>
      <c:valAx>
        <c:axId val="40167455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81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5.13'!$B$5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5.13'!$A$6:$A$25</c:f>
              <c:strCache>
                <c:ptCount val="20"/>
                <c:pt idx="0">
                  <c:v>Rio De Janeiro - Santos Dumont / São Paulo - Congonhas</c:v>
                </c:pt>
                <c:pt idx="1">
                  <c:v>Porto Alegre / São Paulo - Guarulhos</c:v>
                </c:pt>
                <c:pt idx="2">
                  <c:v>Brasília / São Paulo - Congonhas</c:v>
                </c:pt>
                <c:pt idx="3">
                  <c:v>Recife / São Paulo - Guarulhos</c:v>
                </c:pt>
                <c:pt idx="4">
                  <c:v>Salvador / São Paulo - Guarulhos</c:v>
                </c:pt>
                <c:pt idx="5">
                  <c:v>Porto Alegre / São Paulo - Congonhas</c:v>
                </c:pt>
                <c:pt idx="6">
                  <c:v>Belo Horizonte - Confins / São Paulo - Congonhas</c:v>
                </c:pt>
                <c:pt idx="7">
                  <c:v>Fortaleza / São Paulo - Guarulhos</c:v>
                </c:pt>
                <c:pt idx="8">
                  <c:v>Belo Horizonte - Confins / São Paulo - Guarulhos</c:v>
                </c:pt>
                <c:pt idx="9">
                  <c:v>Curitiba / São Paulo - Guarulhos</c:v>
                </c:pt>
                <c:pt idx="10">
                  <c:v>Curitiba / São Paulo - Congonhas</c:v>
                </c:pt>
                <c:pt idx="11">
                  <c:v>Brasília / São Paulo - Guarulhos</c:v>
                </c:pt>
                <c:pt idx="12">
                  <c:v>Rio De Janeiro - Galeão / São Paulo - Guarulhos</c:v>
                </c:pt>
                <c:pt idx="13">
                  <c:v>Florianópolis / São Paulo - Guarulhos</c:v>
                </c:pt>
                <c:pt idx="14">
                  <c:v>Brasília / Rio De Janeiro - Santos Dumont</c:v>
                </c:pt>
                <c:pt idx="15">
                  <c:v>Salvador / São Paulo - Congonhas</c:v>
                </c:pt>
                <c:pt idx="16">
                  <c:v>Natal / São Paulo - Guarulhos</c:v>
                </c:pt>
                <c:pt idx="17">
                  <c:v>Rio De Janeiro - Galeão / Salvador</c:v>
                </c:pt>
                <c:pt idx="18">
                  <c:v>Belo Horizonte - Confins / Brasília</c:v>
                </c:pt>
                <c:pt idx="19">
                  <c:v>Goiânia / São Paulo - Guarulhos</c:v>
                </c:pt>
              </c:strCache>
            </c:strRef>
          </c:cat>
          <c:val>
            <c:numRef>
              <c:f>'Fig 5.13'!$B$6:$B$25</c:f>
              <c:numCache>
                <c:formatCode>0.0%</c:formatCode>
                <c:ptCount val="20"/>
                <c:pt idx="0">
                  <c:v>7.5100255195041932E-2</c:v>
                </c:pt>
                <c:pt idx="1">
                  <c:v>8.9855072463768115E-2</c:v>
                </c:pt>
                <c:pt idx="2">
                  <c:v>6.5350744002429392E-2</c:v>
                </c:pt>
                <c:pt idx="3">
                  <c:v>9.748119070984626E-2</c:v>
                </c:pt>
                <c:pt idx="4">
                  <c:v>9.3349455864570732E-2</c:v>
                </c:pt>
                <c:pt idx="5">
                  <c:v>7.7350859453993934E-2</c:v>
                </c:pt>
                <c:pt idx="6">
                  <c:v>6.9120407615982843E-2</c:v>
                </c:pt>
                <c:pt idx="7">
                  <c:v>0.10321651464234277</c:v>
                </c:pt>
                <c:pt idx="8">
                  <c:v>0.10331023864511163</c:v>
                </c:pt>
                <c:pt idx="9">
                  <c:v>9.2954363490792641E-2</c:v>
                </c:pt>
                <c:pt idx="10">
                  <c:v>6.5182703047710233E-2</c:v>
                </c:pt>
                <c:pt idx="11">
                  <c:v>7.9121711148968391E-2</c:v>
                </c:pt>
                <c:pt idx="12">
                  <c:v>8.8202189706333783E-2</c:v>
                </c:pt>
                <c:pt idx="13">
                  <c:v>0.10072678882178319</c:v>
                </c:pt>
                <c:pt idx="14">
                  <c:v>5.9100067159167227E-2</c:v>
                </c:pt>
                <c:pt idx="15">
                  <c:v>6.0526721084244568E-2</c:v>
                </c:pt>
                <c:pt idx="16">
                  <c:v>0.10453092686595225</c:v>
                </c:pt>
                <c:pt idx="17">
                  <c:v>7.0652173913043473E-2</c:v>
                </c:pt>
                <c:pt idx="18">
                  <c:v>6.700548348268022E-2</c:v>
                </c:pt>
                <c:pt idx="19">
                  <c:v>8.2246591582691167E-2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5-4291-8CE9-15FCE152BF45}"/>
            </c:ext>
          </c:extLst>
        </c:ser>
        <c:ser>
          <c:idx val="1"/>
          <c:order val="1"/>
          <c:tx>
            <c:strRef>
              <c:f>'Fig 5.13'!$C$5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5.13'!$A$6:$A$25</c:f>
              <c:strCache>
                <c:ptCount val="20"/>
                <c:pt idx="0">
                  <c:v>Rio De Janeiro - Santos Dumont / São Paulo - Congonhas</c:v>
                </c:pt>
                <c:pt idx="1">
                  <c:v>Porto Alegre / São Paulo - Guarulhos</c:v>
                </c:pt>
                <c:pt idx="2">
                  <c:v>Brasília / São Paulo - Congonhas</c:v>
                </c:pt>
                <c:pt idx="3">
                  <c:v>Recife / São Paulo - Guarulhos</c:v>
                </c:pt>
                <c:pt idx="4">
                  <c:v>Salvador / São Paulo - Guarulhos</c:v>
                </c:pt>
                <c:pt idx="5">
                  <c:v>Porto Alegre / São Paulo - Congonhas</c:v>
                </c:pt>
                <c:pt idx="6">
                  <c:v>Belo Horizonte - Confins / São Paulo - Congonhas</c:v>
                </c:pt>
                <c:pt idx="7">
                  <c:v>Fortaleza / São Paulo - Guarulhos</c:v>
                </c:pt>
                <c:pt idx="8">
                  <c:v>Belo Horizonte - Confins / São Paulo - Guarulhos</c:v>
                </c:pt>
                <c:pt idx="9">
                  <c:v>Curitiba / São Paulo - Guarulhos</c:v>
                </c:pt>
                <c:pt idx="10">
                  <c:v>Curitiba / São Paulo - Congonhas</c:v>
                </c:pt>
                <c:pt idx="11">
                  <c:v>Brasília / São Paulo - Guarulhos</c:v>
                </c:pt>
                <c:pt idx="12">
                  <c:v>Rio De Janeiro - Galeão / São Paulo - Guarulhos</c:v>
                </c:pt>
                <c:pt idx="13">
                  <c:v>Florianópolis / São Paulo - Guarulhos</c:v>
                </c:pt>
                <c:pt idx="14">
                  <c:v>Brasília / Rio De Janeiro - Santos Dumont</c:v>
                </c:pt>
                <c:pt idx="15">
                  <c:v>Salvador / São Paulo - Congonhas</c:v>
                </c:pt>
                <c:pt idx="16">
                  <c:v>Natal / São Paulo - Guarulhos</c:v>
                </c:pt>
                <c:pt idx="17">
                  <c:v>Rio De Janeiro - Galeão / Salvador</c:v>
                </c:pt>
                <c:pt idx="18">
                  <c:v>Belo Horizonte - Confins / Brasília</c:v>
                </c:pt>
                <c:pt idx="19">
                  <c:v>Goiânia / São Paulo - Guarulhos</c:v>
                </c:pt>
              </c:strCache>
            </c:strRef>
          </c:cat>
          <c:val>
            <c:numRef>
              <c:f>'Fig 5.13'!$C$6:$C$25</c:f>
              <c:numCache>
                <c:formatCode>0.0%</c:formatCode>
                <c:ptCount val="20"/>
                <c:pt idx="0">
                  <c:v>2.4972657674079475E-2</c:v>
                </c:pt>
                <c:pt idx="1">
                  <c:v>2.7954911433172303E-2</c:v>
                </c:pt>
                <c:pt idx="2">
                  <c:v>1.8584877011843304E-2</c:v>
                </c:pt>
                <c:pt idx="3">
                  <c:v>3.2957147530258427E-2</c:v>
                </c:pt>
                <c:pt idx="4">
                  <c:v>3.5066505441354291E-2</c:v>
                </c:pt>
                <c:pt idx="5">
                  <c:v>2.1811353459482884E-2</c:v>
                </c:pt>
                <c:pt idx="6">
                  <c:v>2.0850093858943416E-2</c:v>
                </c:pt>
                <c:pt idx="7">
                  <c:v>3.4373499759961595E-2</c:v>
                </c:pt>
                <c:pt idx="8">
                  <c:v>3.5719784449576596E-2</c:v>
                </c:pt>
                <c:pt idx="9">
                  <c:v>3.3787029623698957E-2</c:v>
                </c:pt>
                <c:pt idx="10">
                  <c:v>2.4493378011807884E-2</c:v>
                </c:pt>
                <c:pt idx="11">
                  <c:v>2.8014385765663449E-2</c:v>
                </c:pt>
                <c:pt idx="12">
                  <c:v>3.3664176813670316E-2</c:v>
                </c:pt>
                <c:pt idx="13">
                  <c:v>3.2654314668850444E-2</c:v>
                </c:pt>
                <c:pt idx="14">
                  <c:v>1.8324858486040489E-2</c:v>
                </c:pt>
                <c:pt idx="15">
                  <c:v>1.7557369474819035E-2</c:v>
                </c:pt>
                <c:pt idx="16">
                  <c:v>3.553299492385787E-2</c:v>
                </c:pt>
                <c:pt idx="17">
                  <c:v>2.2826086956521739E-2</c:v>
                </c:pt>
                <c:pt idx="18">
                  <c:v>2.2468904640898756E-2</c:v>
                </c:pt>
                <c:pt idx="19">
                  <c:v>3.0379371665678719E-2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5-4291-8CE9-15FCE152BF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76512"/>
        <c:axId val="401676904"/>
      </c:barChart>
      <c:catAx>
        <c:axId val="401676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01676904"/>
        <c:crosses val="autoZero"/>
        <c:auto val="1"/>
        <c:lblAlgn val="ctr"/>
        <c:lblOffset val="100"/>
        <c:noMultiLvlLbl val="0"/>
      </c:catAx>
      <c:valAx>
        <c:axId val="401676904"/>
        <c:scaling>
          <c:orientation val="minMax"/>
        </c:scaling>
        <c:delete val="0"/>
        <c:axPos val="t"/>
        <c:numFmt formatCode="0%" sourceLinked="0"/>
        <c:majorTickMark val="out"/>
        <c:minorTickMark val="none"/>
        <c:tickLblPos val="nextTo"/>
        <c:crossAx val="40167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5.14'!$B$5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5.14'!$A$6:$A$25</c:f>
              <c:strCache>
                <c:ptCount val="20"/>
                <c:pt idx="0">
                  <c:v>Rio De Janeiro - Santos Dumont / São Paulo - Congonhas</c:v>
                </c:pt>
                <c:pt idx="1">
                  <c:v>Porto Alegre / São Paulo - Guarulhos</c:v>
                </c:pt>
                <c:pt idx="2">
                  <c:v>Brasília / São Paulo - Congonhas</c:v>
                </c:pt>
                <c:pt idx="3">
                  <c:v>Recife / São Paulo - Guarulhos</c:v>
                </c:pt>
                <c:pt idx="4">
                  <c:v>Salvador / São Paulo - Guarulhos</c:v>
                </c:pt>
                <c:pt idx="5">
                  <c:v>Porto Alegre / São Paulo - Congonhas</c:v>
                </c:pt>
                <c:pt idx="6">
                  <c:v>Belo Horizonte - Confins / São Paulo - Congonhas</c:v>
                </c:pt>
                <c:pt idx="7">
                  <c:v>Fortaleza / São Paulo - Guarulhos</c:v>
                </c:pt>
                <c:pt idx="8">
                  <c:v>Belo Horizonte - Confins / São Paulo - Guarulhos</c:v>
                </c:pt>
                <c:pt idx="9">
                  <c:v>Curitiba / São Paulo - Guarulhos</c:v>
                </c:pt>
                <c:pt idx="10">
                  <c:v>Curitiba / São Paulo - Congonhas</c:v>
                </c:pt>
                <c:pt idx="11">
                  <c:v>Brasília / São Paulo - Guarulhos</c:v>
                </c:pt>
                <c:pt idx="12">
                  <c:v>Rio De Janeiro - Galeão / São Paulo - Guarulhos</c:v>
                </c:pt>
                <c:pt idx="13">
                  <c:v>Florianópolis / São Paulo - Guarulhos</c:v>
                </c:pt>
                <c:pt idx="14">
                  <c:v>Brasília / Rio De Janeiro - Santos Dumont</c:v>
                </c:pt>
                <c:pt idx="15">
                  <c:v>Salvador / São Paulo - Congonhas</c:v>
                </c:pt>
                <c:pt idx="16">
                  <c:v>Natal / São Paulo - Guarulhos</c:v>
                </c:pt>
                <c:pt idx="17">
                  <c:v>Rio De Janeiro - Galeão / Salvador</c:v>
                </c:pt>
                <c:pt idx="18">
                  <c:v>Belo Horizonte - Confins / Brasília</c:v>
                </c:pt>
                <c:pt idx="19">
                  <c:v>Goiânia / São Paulo - Guarulhos</c:v>
                </c:pt>
              </c:strCache>
            </c:strRef>
          </c:cat>
          <c:val>
            <c:numRef>
              <c:f>'Fig 5.14'!$B$6:$B$25</c:f>
              <c:numCache>
                <c:formatCode>0.0%</c:formatCode>
                <c:ptCount val="20"/>
                <c:pt idx="0">
                  <c:v>4.0765349452964977E-2</c:v>
                </c:pt>
                <c:pt idx="1">
                  <c:v>2.4566473988439308E-2</c:v>
                </c:pt>
                <c:pt idx="2">
                  <c:v>1.407185628742515E-2</c:v>
                </c:pt>
                <c:pt idx="3">
                  <c:v>1.9799599198396793E-2</c:v>
                </c:pt>
                <c:pt idx="4">
                  <c:v>1.2733784321528054E-2</c:v>
                </c:pt>
                <c:pt idx="5">
                  <c:v>1.3396038192959954E-2</c:v>
                </c:pt>
                <c:pt idx="6">
                  <c:v>1.8684210526315789E-2</c:v>
                </c:pt>
                <c:pt idx="7">
                  <c:v>1.3170361948076558E-2</c:v>
                </c:pt>
                <c:pt idx="8">
                  <c:v>3.8347645839502516E-2</c:v>
                </c:pt>
                <c:pt idx="9">
                  <c:v>3.2457975056162366E-2</c:v>
                </c:pt>
                <c:pt idx="10">
                  <c:v>2.4211755546905411E-2</c:v>
                </c:pt>
                <c:pt idx="11">
                  <c:v>1.7481867212200113E-2</c:v>
                </c:pt>
                <c:pt idx="12">
                  <c:v>1.3525789845563742E-2</c:v>
                </c:pt>
                <c:pt idx="13">
                  <c:v>2.1044192804890269E-2</c:v>
                </c:pt>
                <c:pt idx="14">
                  <c:v>2.8701891715590344E-2</c:v>
                </c:pt>
                <c:pt idx="15">
                  <c:v>1.977657004830918E-2</c:v>
                </c:pt>
                <c:pt idx="16">
                  <c:v>1.0050251256281407E-2</c:v>
                </c:pt>
                <c:pt idx="17">
                  <c:v>6.4794816414686825E-3</c:v>
                </c:pt>
                <c:pt idx="18">
                  <c:v>2.5924960917144347E-2</c:v>
                </c:pt>
                <c:pt idx="19">
                  <c:v>1.7758369723435224E-2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2-4456-8A62-890770C472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82784"/>
        <c:axId val="401684744"/>
      </c:barChart>
      <c:catAx>
        <c:axId val="4016827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01684744"/>
        <c:crosses val="autoZero"/>
        <c:auto val="1"/>
        <c:lblAlgn val="ctr"/>
        <c:lblOffset val="100"/>
        <c:noMultiLvlLbl val="0"/>
      </c:catAx>
      <c:valAx>
        <c:axId val="401684744"/>
        <c:scaling>
          <c:orientation val="minMax"/>
        </c:scaling>
        <c:delete val="0"/>
        <c:axPos val="t"/>
        <c:numFmt formatCode="0%" sourceLinked="0"/>
        <c:majorTickMark val="out"/>
        <c:minorTickMark val="none"/>
        <c:tickLblPos val="nextTo"/>
        <c:crossAx val="401682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5.15'!$B$5</c:f>
              <c:strCache>
                <c:ptCount val="1"/>
                <c:pt idx="0">
                  <c:v>Atrasos &gt; 30 min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5.15'!$A$6:$A$25</c:f>
              <c:strCache>
                <c:ptCount val="20"/>
                <c:pt idx="0">
                  <c:v>Santiago Do Chile / São Paulo - Guarulhos</c:v>
                </c:pt>
                <c:pt idx="1">
                  <c:v>Miami / São Paulo - Guarulhos</c:v>
                </c:pt>
                <c:pt idx="2">
                  <c:v>Buenos Aires/Aeroparque / São Paulo - Guarulhos</c:v>
                </c:pt>
                <c:pt idx="3">
                  <c:v>Buenos Aires / São Paulo - Guarulhos</c:v>
                </c:pt>
                <c:pt idx="4">
                  <c:v>New York / São Paulo - Guarulhos</c:v>
                </c:pt>
                <c:pt idx="5">
                  <c:v>Madrid / São Paulo - Guarulhos</c:v>
                </c:pt>
                <c:pt idx="6">
                  <c:v>Buenos Aires / Rio De Janeiro - Galeão</c:v>
                </c:pt>
                <c:pt idx="7">
                  <c:v>Paris / São Paulo - Guarulhos</c:v>
                </c:pt>
                <c:pt idx="8">
                  <c:v>Panama / São Paulo - Guarulhos</c:v>
                </c:pt>
                <c:pt idx="9">
                  <c:v>Rio De Janeiro - Galeão / Santiago Do Chile</c:v>
                </c:pt>
                <c:pt idx="10">
                  <c:v>Bogota / São Paulo - Guarulhos</c:v>
                </c:pt>
                <c:pt idx="11">
                  <c:v>Frankfurt / São Paulo - Guarulhos</c:v>
                </c:pt>
                <c:pt idx="12">
                  <c:v>Lima / São Paulo - Guarulhos</c:v>
                </c:pt>
                <c:pt idx="13">
                  <c:v>Londres / São Paulo - Guarulhos</c:v>
                </c:pt>
                <c:pt idx="14">
                  <c:v>Lisboa / São Paulo - Guarulhos</c:v>
                </c:pt>
                <c:pt idx="15">
                  <c:v>Montevideu / São Paulo - Guarulhos</c:v>
                </c:pt>
                <c:pt idx="16">
                  <c:v>Roma / São Paulo - Guarulhos</c:v>
                </c:pt>
                <c:pt idx="17">
                  <c:v>Orlando / São Paulo - Guarulhos</c:v>
                </c:pt>
                <c:pt idx="18">
                  <c:v>Mexico / São Paulo - Guarulhos</c:v>
                </c:pt>
                <c:pt idx="19">
                  <c:v>Assuncao / São Paulo - Guarulhos</c:v>
                </c:pt>
              </c:strCache>
            </c:strRef>
          </c:cat>
          <c:val>
            <c:numRef>
              <c:f>'Fig 5.15'!$B$6:$B$25</c:f>
              <c:numCache>
                <c:formatCode>0.0%</c:formatCode>
                <c:ptCount val="20"/>
                <c:pt idx="0">
                  <c:v>0.11452871956192473</c:v>
                </c:pt>
                <c:pt idx="1">
                  <c:v>0.12279831307367899</c:v>
                </c:pt>
                <c:pt idx="2">
                  <c:v>9.7868054389793527E-2</c:v>
                </c:pt>
                <c:pt idx="3">
                  <c:v>0.11160347940259314</c:v>
                </c:pt>
                <c:pt idx="4">
                  <c:v>0.14504088162104514</c:v>
                </c:pt>
                <c:pt idx="5">
                  <c:v>8.9558573853989812E-2</c:v>
                </c:pt>
                <c:pt idx="6">
                  <c:v>8.2188930503537247E-2</c:v>
                </c:pt>
                <c:pt idx="7">
                  <c:v>0.11847195357833655</c:v>
                </c:pt>
                <c:pt idx="8">
                  <c:v>1.9116186693147963E-2</c:v>
                </c:pt>
                <c:pt idx="9">
                  <c:v>0.10803149606299213</c:v>
                </c:pt>
                <c:pt idx="10">
                  <c:v>0.13848817080207732</c:v>
                </c:pt>
                <c:pt idx="11">
                  <c:v>9.8893499308437063E-2</c:v>
                </c:pt>
                <c:pt idx="12">
                  <c:v>8.8480801335559259E-2</c:v>
                </c:pt>
                <c:pt idx="13">
                  <c:v>9.4072164948453607E-2</c:v>
                </c:pt>
                <c:pt idx="14">
                  <c:v>9.4527363184079602E-2</c:v>
                </c:pt>
                <c:pt idx="15">
                  <c:v>9.4226000708466165E-2</c:v>
                </c:pt>
                <c:pt idx="16">
                  <c:v>0.15879828326180256</c:v>
                </c:pt>
                <c:pt idx="17">
                  <c:v>0.11751982696467195</c:v>
                </c:pt>
                <c:pt idx="18">
                  <c:v>7.9234972677595633E-2</c:v>
                </c:pt>
                <c:pt idx="19">
                  <c:v>7.1558963125228192E-2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D-4C4D-AD9E-CBC4871726C6}"/>
            </c:ext>
          </c:extLst>
        </c:ser>
        <c:ser>
          <c:idx val="1"/>
          <c:order val="1"/>
          <c:tx>
            <c:strRef>
              <c:f>'Fig 5.15'!$C$5</c:f>
              <c:strCache>
                <c:ptCount val="1"/>
                <c:pt idx="0">
                  <c:v>Atrasos &gt; 60 min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5.15'!$A$6:$A$25</c:f>
              <c:strCache>
                <c:ptCount val="20"/>
                <c:pt idx="0">
                  <c:v>Santiago Do Chile / São Paulo - Guarulhos</c:v>
                </c:pt>
                <c:pt idx="1">
                  <c:v>Miami / São Paulo - Guarulhos</c:v>
                </c:pt>
                <c:pt idx="2">
                  <c:v>Buenos Aires/Aeroparque / São Paulo - Guarulhos</c:v>
                </c:pt>
                <c:pt idx="3">
                  <c:v>Buenos Aires / São Paulo - Guarulhos</c:v>
                </c:pt>
                <c:pt idx="4">
                  <c:v>New York / São Paulo - Guarulhos</c:v>
                </c:pt>
                <c:pt idx="5">
                  <c:v>Madrid / São Paulo - Guarulhos</c:v>
                </c:pt>
                <c:pt idx="6">
                  <c:v>Buenos Aires / Rio De Janeiro - Galeão</c:v>
                </c:pt>
                <c:pt idx="7">
                  <c:v>Paris / São Paulo - Guarulhos</c:v>
                </c:pt>
                <c:pt idx="8">
                  <c:v>Panama / São Paulo - Guarulhos</c:v>
                </c:pt>
                <c:pt idx="9">
                  <c:v>Rio De Janeiro - Galeão / Santiago Do Chile</c:v>
                </c:pt>
                <c:pt idx="10">
                  <c:v>Bogota / São Paulo - Guarulhos</c:v>
                </c:pt>
                <c:pt idx="11">
                  <c:v>Frankfurt / São Paulo - Guarulhos</c:v>
                </c:pt>
                <c:pt idx="12">
                  <c:v>Lima / São Paulo - Guarulhos</c:v>
                </c:pt>
                <c:pt idx="13">
                  <c:v>Londres / São Paulo - Guarulhos</c:v>
                </c:pt>
                <c:pt idx="14">
                  <c:v>Lisboa / São Paulo - Guarulhos</c:v>
                </c:pt>
                <c:pt idx="15">
                  <c:v>Montevideu / São Paulo - Guarulhos</c:v>
                </c:pt>
                <c:pt idx="16">
                  <c:v>Roma / São Paulo - Guarulhos</c:v>
                </c:pt>
                <c:pt idx="17">
                  <c:v>Orlando / São Paulo - Guarulhos</c:v>
                </c:pt>
                <c:pt idx="18">
                  <c:v>Mexico / São Paulo - Guarulhos</c:v>
                </c:pt>
                <c:pt idx="19">
                  <c:v>Assuncao / São Paulo - Guarulhos</c:v>
                </c:pt>
              </c:strCache>
            </c:strRef>
          </c:cat>
          <c:val>
            <c:numRef>
              <c:f>'Fig 5.15'!$C$6:$C$25</c:f>
              <c:numCache>
                <c:formatCode>0.0%</c:formatCode>
                <c:ptCount val="20"/>
                <c:pt idx="0">
                  <c:v>4.8467901666084119E-2</c:v>
                </c:pt>
                <c:pt idx="1">
                  <c:v>6.1771272637062766E-2</c:v>
                </c:pt>
                <c:pt idx="2">
                  <c:v>3.7602820211515862E-2</c:v>
                </c:pt>
                <c:pt idx="3">
                  <c:v>3.9389463318562287E-2</c:v>
                </c:pt>
                <c:pt idx="4">
                  <c:v>7.2520440810522571E-2</c:v>
                </c:pt>
                <c:pt idx="5">
                  <c:v>4.7113752122241087E-2</c:v>
                </c:pt>
                <c:pt idx="6">
                  <c:v>4.0574282147315857E-2</c:v>
                </c:pt>
                <c:pt idx="7">
                  <c:v>5.0773694390715669E-2</c:v>
                </c:pt>
                <c:pt idx="8">
                  <c:v>1.0675273088381331E-2</c:v>
                </c:pt>
                <c:pt idx="9">
                  <c:v>3.3070866141732283E-2</c:v>
                </c:pt>
                <c:pt idx="10">
                  <c:v>5.6260819388343909E-2</c:v>
                </c:pt>
                <c:pt idx="11">
                  <c:v>3.5269709543568464E-2</c:v>
                </c:pt>
                <c:pt idx="12">
                  <c:v>4.6744574290484141E-2</c:v>
                </c:pt>
                <c:pt idx="13">
                  <c:v>4.3814432989690719E-2</c:v>
                </c:pt>
                <c:pt idx="14">
                  <c:v>4.5881702598120508E-2</c:v>
                </c:pt>
                <c:pt idx="15">
                  <c:v>4.0028338646829614E-2</c:v>
                </c:pt>
                <c:pt idx="16">
                  <c:v>7.9705702023298589E-2</c:v>
                </c:pt>
                <c:pt idx="17">
                  <c:v>6.344628695025234E-2</c:v>
                </c:pt>
                <c:pt idx="18">
                  <c:v>3.1147540983606559E-2</c:v>
                </c:pt>
                <c:pt idx="19">
                  <c:v>3.1033223804308143E-2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D-4C4D-AD9E-CBC487172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401683176"/>
        <c:axId val="401684352"/>
      </c:barChart>
      <c:catAx>
        <c:axId val="401683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01684352"/>
        <c:crosses val="autoZero"/>
        <c:auto val="1"/>
        <c:lblAlgn val="ctr"/>
        <c:lblOffset val="100"/>
        <c:noMultiLvlLbl val="0"/>
      </c:catAx>
      <c:valAx>
        <c:axId val="401684352"/>
        <c:scaling>
          <c:orientation val="minMax"/>
        </c:scaling>
        <c:delete val="0"/>
        <c:axPos val="t"/>
        <c:numFmt formatCode="0%" sourceLinked="0"/>
        <c:majorTickMark val="out"/>
        <c:minorTickMark val="none"/>
        <c:tickLblPos val="nextTo"/>
        <c:crossAx val="401683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5.16'!$B$5</c:f>
              <c:strCache>
                <c:ptCount val="1"/>
                <c:pt idx="0">
                  <c:v>Cancelamentos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5.16'!$A$6:$A$25</c:f>
              <c:strCache>
                <c:ptCount val="20"/>
                <c:pt idx="0">
                  <c:v>Santiago Do Chile / São Paulo - Guarulhos</c:v>
                </c:pt>
                <c:pt idx="1">
                  <c:v>Miami / São Paulo - Guarulhos</c:v>
                </c:pt>
                <c:pt idx="2">
                  <c:v>Buenos Aires/Aeroparque / São Paulo - Guarulhos</c:v>
                </c:pt>
                <c:pt idx="3">
                  <c:v>Buenos Aires / São Paulo - Guarulhos</c:v>
                </c:pt>
                <c:pt idx="4">
                  <c:v>New York / São Paulo - Guarulhos</c:v>
                </c:pt>
                <c:pt idx="5">
                  <c:v>Madrid / São Paulo - Guarulhos</c:v>
                </c:pt>
                <c:pt idx="6">
                  <c:v>Buenos Aires / Rio De Janeiro - Galeão</c:v>
                </c:pt>
                <c:pt idx="7">
                  <c:v>Paris / São Paulo - Guarulhos</c:v>
                </c:pt>
                <c:pt idx="8">
                  <c:v>Panama / São Paulo - Guarulhos</c:v>
                </c:pt>
                <c:pt idx="9">
                  <c:v>Rio De Janeiro - Galeão / Santiago Do Chile</c:v>
                </c:pt>
                <c:pt idx="10">
                  <c:v>Bogota / São Paulo - Guarulhos</c:v>
                </c:pt>
                <c:pt idx="11">
                  <c:v>Frankfurt / São Paulo - Guarulhos</c:v>
                </c:pt>
                <c:pt idx="12">
                  <c:v>Lima / São Paulo - Guarulhos</c:v>
                </c:pt>
                <c:pt idx="13">
                  <c:v>Londres / São Paulo - Guarulhos</c:v>
                </c:pt>
                <c:pt idx="14">
                  <c:v>Lisboa / São Paulo - Guarulhos</c:v>
                </c:pt>
                <c:pt idx="15">
                  <c:v>Montevideu / São Paulo - Guarulhos</c:v>
                </c:pt>
                <c:pt idx="16">
                  <c:v>Roma / São Paulo - Guarulhos</c:v>
                </c:pt>
                <c:pt idx="17">
                  <c:v>Orlando / São Paulo - Guarulhos</c:v>
                </c:pt>
                <c:pt idx="18">
                  <c:v>Mexico / São Paulo - Guarulhos</c:v>
                </c:pt>
                <c:pt idx="19">
                  <c:v>Assuncao / São Paulo - Guarulhos</c:v>
                </c:pt>
              </c:strCache>
            </c:strRef>
          </c:cat>
          <c:val>
            <c:numRef>
              <c:f>'Fig 5.16'!$B$6:$B$25</c:f>
              <c:numCache>
                <c:formatCode>0.0%</c:formatCode>
                <c:ptCount val="20"/>
                <c:pt idx="0">
                  <c:v>1.6725856340932523E-2</c:v>
                </c:pt>
                <c:pt idx="1">
                  <c:v>5.9186189889025896E-3</c:v>
                </c:pt>
                <c:pt idx="2">
                  <c:v>1.9423868312757202E-2</c:v>
                </c:pt>
                <c:pt idx="3">
                  <c:v>1.2799740764744005E-2</c:v>
                </c:pt>
                <c:pt idx="4">
                  <c:v>3.565306822077477E-2</c:v>
                </c:pt>
                <c:pt idx="5">
                  <c:v>8.0000000000000002E-3</c:v>
                </c:pt>
                <c:pt idx="6">
                  <c:v>3.3775633293124246E-2</c:v>
                </c:pt>
                <c:pt idx="7">
                  <c:v>2.4988213107024988E-2</c:v>
                </c:pt>
                <c:pt idx="8">
                  <c:v>1.2397718819737169E-3</c:v>
                </c:pt>
                <c:pt idx="9">
                  <c:v>4.7404740474047406E-2</c:v>
                </c:pt>
                <c:pt idx="10">
                  <c:v>6.0223687983940351E-3</c:v>
                </c:pt>
                <c:pt idx="11">
                  <c:v>2.7586206896551722E-3</c:v>
                </c:pt>
                <c:pt idx="12">
                  <c:v>2.7202598457166056E-2</c:v>
                </c:pt>
                <c:pt idx="13">
                  <c:v>6.4020486555697821E-3</c:v>
                </c:pt>
                <c:pt idx="14">
                  <c:v>1.6847826086956522E-2</c:v>
                </c:pt>
                <c:pt idx="15">
                  <c:v>5.9859154929577463E-3</c:v>
                </c:pt>
                <c:pt idx="16">
                  <c:v>2.4464831804281344E-3</c:v>
                </c:pt>
                <c:pt idx="17">
                  <c:v>4.3072505384063172E-3</c:v>
                </c:pt>
                <c:pt idx="18">
                  <c:v>4.3525571273122961E-3</c:v>
                </c:pt>
                <c:pt idx="19">
                  <c:v>1.0119262739428984E-2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B-4B56-9095-B48C2C590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85920"/>
        <c:axId val="401678864"/>
      </c:barChart>
      <c:catAx>
        <c:axId val="401685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01678864"/>
        <c:crosses val="autoZero"/>
        <c:auto val="1"/>
        <c:lblAlgn val="ctr"/>
        <c:lblOffset val="100"/>
        <c:noMultiLvlLbl val="0"/>
      </c:catAx>
      <c:valAx>
        <c:axId val="401678864"/>
        <c:scaling>
          <c:orientation val="minMax"/>
        </c:scaling>
        <c:delete val="0"/>
        <c:axPos val="t"/>
        <c:numFmt formatCode="0%" sourceLinked="0"/>
        <c:majorTickMark val="out"/>
        <c:minorTickMark val="none"/>
        <c:tickLblPos val="nextTo"/>
        <c:crossAx val="40168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6.1'!$B$5</c:f>
              <c:strCache>
                <c:ptCount val="1"/>
                <c:pt idx="0">
                  <c:v>52 Rotas monitoradas desde o início da série histórica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8793545185046092E-2"/>
                  <c:y val="-5.2228412256267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C3-45F3-8248-6BD9CD9B8F56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C3-45F3-8248-6BD9CD9B8F56}"/>
                </c:ext>
              </c:extLst>
            </c:dLbl>
            <c:dLbl>
              <c:idx val="10"/>
              <c:numFmt formatCode="#,##0.0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C3-45F3-8248-6BD9CD9B8F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6.1'!$A$6:$A$15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6.1'!$B$6:$B$15</c:f>
              <c:numCache>
                <c:formatCode>"R$ "#,##0.00</c:formatCode>
                <c:ptCount val="10"/>
                <c:pt idx="0">
                  <c:v>513.39726883673973</c:v>
                </c:pt>
                <c:pt idx="1">
                  <c:v>399.72727016819903</c:v>
                </c:pt>
                <c:pt idx="2">
                  <c:v>359.59163002210579</c:v>
                </c:pt>
                <c:pt idx="3">
                  <c:v>357.72743027687568</c:v>
                </c:pt>
                <c:pt idx="4">
                  <c:v>380.72352101857217</c:v>
                </c:pt>
                <c:pt idx="5">
                  <c:v>356.0474072146589</c:v>
                </c:pt>
                <c:pt idx="6">
                  <c:v>312.80472060634338</c:v>
                </c:pt>
                <c:pt idx="7">
                  <c:v>289.12413288952973</c:v>
                </c:pt>
                <c:pt idx="8">
                  <c:v>290.3938055391838</c:v>
                </c:pt>
                <c:pt idx="9">
                  <c:v>288.85671166551805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3-45F3-8248-6BD9CD9B8F56}"/>
            </c:ext>
          </c:extLst>
        </c:ser>
        <c:ser>
          <c:idx val="1"/>
          <c:order val="1"/>
          <c:tx>
            <c:strRef>
              <c:f>'Fig 6.1'!$C$5</c:f>
              <c:strCache>
                <c:ptCount val="1"/>
                <c:pt idx="0">
                  <c:v>Todas as Rotas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A3-4B6E-80B5-B317AC5FCDF2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3-45F3-8248-6BD9CD9B8F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6.1'!$C$6:$C$15</c:f>
              <c:numCache>
                <c:formatCode>"R$ "#,##0.00</c:formatCode>
                <c:ptCount val="10"/>
                <c:pt idx="2">
                  <c:v>413.97780272266152</c:v>
                </c:pt>
                <c:pt idx="3">
                  <c:v>417.43828590781737</c:v>
                </c:pt>
                <c:pt idx="4">
                  <c:v>436.76919994895695</c:v>
                </c:pt>
                <c:pt idx="5">
                  <c:v>417.21443321519831</c:v>
                </c:pt>
                <c:pt idx="6">
                  <c:v>379.72465464750127</c:v>
                </c:pt>
                <c:pt idx="7">
                  <c:v>372.69459358321649</c:v>
                </c:pt>
                <c:pt idx="8">
                  <c:v>370.53570289933833</c:v>
                </c:pt>
                <c:pt idx="9">
                  <c:v>374.11794363221435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3-45F3-8248-6BD9CD9B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82000"/>
        <c:axId val="401682392"/>
      </c:lineChart>
      <c:catAx>
        <c:axId val="40168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682392"/>
        <c:crosses val="autoZero"/>
        <c:auto val="1"/>
        <c:lblAlgn val="ctr"/>
        <c:lblOffset val="100"/>
        <c:noMultiLvlLbl val="0"/>
      </c:catAx>
      <c:valAx>
        <c:axId val="401682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168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27528670272335E-2"/>
          <c:y val="4.3033022035036318E-2"/>
          <c:w val="0.96767399664898557"/>
          <c:h val="0.76407565333403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6.2'!$B$5</c:f>
              <c:strCache>
                <c:ptCount val="1"/>
                <c:pt idx="0">
                  <c:v>52 Rotas monitoradas desde o início da série histórica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BAA-4492-AF0C-D655D9775FAB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BAA-4492-AF0C-D655D9775FAB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BAA-4492-AF0C-D655D9775FAB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EBAA-4492-AF0C-D655D9775FA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6.2'!$A$6:$A$15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6.2'!$B$6:$B$15</c:f>
              <c:numCache>
                <c:formatCode>0.0%</c:formatCode>
                <c:ptCount val="10"/>
                <c:pt idx="0">
                  <c:v>-0.28639606288496872</c:v>
                </c:pt>
                <c:pt idx="1">
                  <c:v>-0.22140748610933444</c:v>
                </c:pt>
                <c:pt idx="2">
                  <c:v>-0.10040756070809176</c:v>
                </c:pt>
                <c:pt idx="3">
                  <c:v>-5.1842133953882872E-3</c:v>
                </c:pt>
                <c:pt idx="4">
                  <c:v>6.4283833990303352E-2</c:v>
                </c:pt>
                <c:pt idx="5">
                  <c:v>-6.4813736062053109E-2</c:v>
                </c:pt>
                <c:pt idx="6">
                  <c:v>-0.12145204748603818</c:v>
                </c:pt>
                <c:pt idx="7">
                  <c:v>-7.5704061214009147E-2</c:v>
                </c:pt>
                <c:pt idx="8">
                  <c:v>4.3914447298634635E-3</c:v>
                </c:pt>
                <c:pt idx="9">
                  <c:v>-5.2931358877018071E-3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BAA-4492-AF0C-D655D9775FAB}"/>
            </c:ext>
          </c:extLst>
        </c:ser>
        <c:ser>
          <c:idx val="1"/>
          <c:order val="1"/>
          <c:tx>
            <c:strRef>
              <c:f>'Fig 6.2'!$C$5</c:f>
              <c:strCache>
                <c:ptCount val="1"/>
                <c:pt idx="0">
                  <c:v>Todas as Rotas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6.2'!$C$6:$C$15</c:f>
              <c:numCache>
                <c:formatCode>0.0%</c:formatCode>
                <c:ptCount val="10"/>
                <c:pt idx="2">
                  <c:v>-6.7735977505567729E-2</c:v>
                </c:pt>
                <c:pt idx="3">
                  <c:v>8.3591032234019372E-3</c:v>
                </c:pt>
                <c:pt idx="4">
                  <c:v>4.6308435746615757E-2</c:v>
                </c:pt>
                <c:pt idx="5">
                  <c:v>-4.477139582196709E-2</c:v>
                </c:pt>
                <c:pt idx="6">
                  <c:v>-8.9857338536416115E-2</c:v>
                </c:pt>
                <c:pt idx="7">
                  <c:v>-1.851357550330987E-2</c:v>
                </c:pt>
                <c:pt idx="8">
                  <c:v>-5.7926536124976308E-3</c:v>
                </c:pt>
                <c:pt idx="9">
                  <c:v>9.6677343231596404E-3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BAA-4492-AF0C-D655D9775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45"/>
        <c:axId val="401679648"/>
        <c:axId val="401685528"/>
      </c:barChart>
      <c:catAx>
        <c:axId val="4016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1685528"/>
        <c:crosses val="autoZero"/>
        <c:auto val="1"/>
        <c:lblAlgn val="ctr"/>
        <c:lblOffset val="100"/>
        <c:noMultiLvlLbl val="0"/>
      </c:catAx>
      <c:valAx>
        <c:axId val="40168552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79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multiLvlStrRef>
              <c:f>'Fig 6.3'!$A$6:$B$41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'Fig 6.3'!$C$6:$C$41</c:f>
              <c:numCache>
                <c:formatCode>_("R$ "* #,##0_);_("R$ "* \(#,##0\);_("R$ "* "-"??_);_(@_)</c:formatCode>
                <c:ptCount val="36"/>
                <c:pt idx="0">
                  <c:v>365.19878389162278</c:v>
                </c:pt>
                <c:pt idx="1">
                  <c:v>365.38140189561477</c:v>
                </c:pt>
                <c:pt idx="2">
                  <c:v>353.46821093729761</c:v>
                </c:pt>
                <c:pt idx="3">
                  <c:v>336.80616834194859</c:v>
                </c:pt>
                <c:pt idx="4">
                  <c:v>330.10308554394857</c:v>
                </c:pt>
                <c:pt idx="5">
                  <c:v>349.94053323401022</c:v>
                </c:pt>
                <c:pt idx="6">
                  <c:v>367.8457159899724</c:v>
                </c:pt>
                <c:pt idx="7">
                  <c:v>368.71953846905285</c:v>
                </c:pt>
                <c:pt idx="8">
                  <c:v>415.68745652468021</c:v>
                </c:pt>
                <c:pt idx="9">
                  <c:v>428.251139401187</c:v>
                </c:pt>
                <c:pt idx="10">
                  <c:v>421.61369284119513</c:v>
                </c:pt>
                <c:pt idx="11">
                  <c:v>388.54648566859481</c:v>
                </c:pt>
                <c:pt idx="12">
                  <c:v>363.88822006061241</c:v>
                </c:pt>
                <c:pt idx="13">
                  <c:v>341.12340326194237</c:v>
                </c:pt>
                <c:pt idx="14">
                  <c:v>329.60729883662691</c:v>
                </c:pt>
                <c:pt idx="15">
                  <c:v>341.75659453980643</c:v>
                </c:pt>
                <c:pt idx="16">
                  <c:v>330.58091259901641</c:v>
                </c:pt>
                <c:pt idx="17">
                  <c:v>343.74588968203989</c:v>
                </c:pt>
                <c:pt idx="18">
                  <c:v>368.38563710742528</c:v>
                </c:pt>
                <c:pt idx="19">
                  <c:v>380.32604748888019</c:v>
                </c:pt>
                <c:pt idx="20">
                  <c:v>391.60641225806472</c:v>
                </c:pt>
                <c:pt idx="21">
                  <c:v>409.79013710323102</c:v>
                </c:pt>
                <c:pt idx="22">
                  <c:v>404.21912304822871</c:v>
                </c:pt>
                <c:pt idx="23">
                  <c:v>446.147145491988</c:v>
                </c:pt>
                <c:pt idx="24">
                  <c:v>382.4055871219964</c:v>
                </c:pt>
                <c:pt idx="25">
                  <c:v>365.05649118360145</c:v>
                </c:pt>
                <c:pt idx="26">
                  <c:v>363.66060354118815</c:v>
                </c:pt>
                <c:pt idx="27">
                  <c:v>333.67611289344057</c:v>
                </c:pt>
                <c:pt idx="28">
                  <c:v>339.29690573600408</c:v>
                </c:pt>
                <c:pt idx="29">
                  <c:v>303.88018057435443</c:v>
                </c:pt>
                <c:pt idx="30">
                  <c:v>365.1539890730225</c:v>
                </c:pt>
                <c:pt idx="31">
                  <c:v>392.89990298347215</c:v>
                </c:pt>
                <c:pt idx="32">
                  <c:v>386.29472027311698</c:v>
                </c:pt>
                <c:pt idx="33">
                  <c:v>417.47025967590452</c:v>
                </c:pt>
                <c:pt idx="34">
                  <c:v>422.06932248396942</c:v>
                </c:pt>
                <c:pt idx="35">
                  <c:v>444.03322015714457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B39-838F-7DA6997D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78472"/>
        <c:axId val="401686704"/>
      </c:lineChart>
      <c:catAx>
        <c:axId val="40167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1686704"/>
        <c:crosses val="autoZero"/>
        <c:auto val="1"/>
        <c:lblAlgn val="ctr"/>
        <c:lblOffset val="100"/>
        <c:noMultiLvlLbl val="0"/>
      </c:catAx>
      <c:valAx>
        <c:axId val="401686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crossAx val="401678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dLbl>
              <c:idx val="12"/>
              <c:layout>
                <c:manualLayout>
                  <c:x val="1.0023053021950412E-2"/>
                  <c:y val="1.3937282229965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2E-4540-8E56-5DF8EC335AD4}"/>
                </c:ext>
              </c:extLst>
            </c:dLbl>
            <c:dLbl>
              <c:idx val="13"/>
              <c:layout>
                <c:manualLayout>
                  <c:x val="-6.0138318131702914E-3"/>
                  <c:y val="1.3937282229965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2E-4540-8E56-5DF8EC335AD4}"/>
                </c:ext>
              </c:extLst>
            </c:dLbl>
            <c:dLbl>
              <c:idx val="15"/>
              <c:layout>
                <c:manualLayout>
                  <c:x val="8.0184424175603151E-3"/>
                  <c:y val="9.2915214866434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2E-4540-8E56-5DF8EC335AD4}"/>
                </c:ext>
              </c:extLst>
            </c:dLbl>
            <c:dLbl>
              <c:idx val="19"/>
              <c:layout>
                <c:manualLayout>
                  <c:x val="8.0184424175603897E-3"/>
                  <c:y val="-5.3232060242592305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2E-4540-8E56-5DF8EC335AD4}"/>
                </c:ext>
              </c:extLst>
            </c:dLbl>
            <c:dLbl>
              <c:idx val="31"/>
              <c:layout>
                <c:manualLayout>
                  <c:x val="1.2027663626340583E-2"/>
                  <c:y val="-4.6457607433216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2E-4540-8E56-5DF8EC335A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 6.4'!$A$6:$B$41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'Fig 6.4'!$C$6:$C$41</c:f>
              <c:numCache>
                <c:formatCode>0.0%</c:formatCode>
                <c:ptCount val="36"/>
                <c:pt idx="0">
                  <c:v>-6.1218284942709603E-2</c:v>
                </c:pt>
                <c:pt idx="1">
                  <c:v>3.5940132257806547E-2</c:v>
                </c:pt>
                <c:pt idx="2">
                  <c:v>8.2862509522228719E-2</c:v>
                </c:pt>
                <c:pt idx="3">
                  <c:v>8.2635382993239706E-2</c:v>
                </c:pt>
                <c:pt idx="4">
                  <c:v>-5.1087836494228975E-2</c:v>
                </c:pt>
                <c:pt idx="5">
                  <c:v>-6.8081601827349014E-2</c:v>
                </c:pt>
                <c:pt idx="6">
                  <c:v>-0.10589146434606558</c:v>
                </c:pt>
                <c:pt idx="7">
                  <c:v>-0.10445511632220809</c:v>
                </c:pt>
                <c:pt idx="8">
                  <c:v>-2.9623119057100973E-2</c:v>
                </c:pt>
                <c:pt idx="9">
                  <c:v>-1.0634809998878076E-2</c:v>
                </c:pt>
                <c:pt idx="10">
                  <c:v>5.5382709488568153E-2</c:v>
                </c:pt>
                <c:pt idx="11">
                  <c:v>-4.4148555329127641E-2</c:v>
                </c:pt>
                <c:pt idx="12">
                  <c:v>-3.5886314216185778E-3</c:v>
                </c:pt>
                <c:pt idx="13">
                  <c:v>-6.639089594549924E-2</c:v>
                </c:pt>
                <c:pt idx="14">
                  <c:v>-6.7505114639300437E-2</c:v>
                </c:pt>
                <c:pt idx="15">
                  <c:v>1.4698145886781463E-2</c:v>
                </c:pt>
                <c:pt idx="16">
                  <c:v>1.4475085995651275E-3</c:v>
                </c:pt>
                <c:pt idx="17">
                  <c:v>-1.7701989234347664E-2</c:v>
                </c:pt>
                <c:pt idx="18">
                  <c:v>1.4677923215710245E-3</c:v>
                </c:pt>
                <c:pt idx="19">
                  <c:v>3.1477879008034976E-2</c:v>
                </c:pt>
                <c:pt idx="20">
                  <c:v>-5.7930649310284764E-2</c:v>
                </c:pt>
                <c:pt idx="21">
                  <c:v>-4.3107888338066183E-2</c:v>
                </c:pt>
                <c:pt idx="22">
                  <c:v>-4.1257127290498734E-2</c:v>
                </c:pt>
                <c:pt idx="23">
                  <c:v>0.14824650832776506</c:v>
                </c:pt>
                <c:pt idx="24">
                  <c:v>5.0887514463368935E-2</c:v>
                </c:pt>
                <c:pt idx="25">
                  <c:v>7.0159618756152314E-2</c:v>
                </c:pt>
                <c:pt idx="26">
                  <c:v>0.10331477738737847</c:v>
                </c:pt>
                <c:pt idx="27">
                  <c:v>-2.3643967008878514E-2</c:v>
                </c:pt>
                <c:pt idx="28">
                  <c:v>2.6365687808357741E-2</c:v>
                </c:pt>
                <c:pt idx="29">
                  <c:v>-0.11597435868850878</c:v>
                </c:pt>
                <c:pt idx="30">
                  <c:v>-8.7724593710487055E-3</c:v>
                </c:pt>
                <c:pt idx="31">
                  <c:v>3.3060726651806781E-2</c:v>
                </c:pt>
                <c:pt idx="32">
                  <c:v>-1.3563853447444039E-2</c:v>
                </c:pt>
                <c:pt idx="33">
                  <c:v>1.8741599363429243E-2</c:v>
                </c:pt>
                <c:pt idx="34">
                  <c:v>4.4159710458851649E-2</c:v>
                </c:pt>
                <c:pt idx="35">
                  <c:v>-4.7381796705486074E-3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902E-4540-8E56-5DF8EC33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675728"/>
        <c:axId val="401676120"/>
      </c:barChart>
      <c:catAx>
        <c:axId val="40167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1676120"/>
        <c:crosses val="autoZero"/>
        <c:auto val="1"/>
        <c:lblAlgn val="ctr"/>
        <c:lblOffset val="100"/>
        <c:noMultiLvlLbl val="0"/>
      </c:catAx>
      <c:valAx>
        <c:axId val="40167612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1675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&quot;R$ &quot;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'Fig 6.5'!$A$6:$B$17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'Fig 6.5'!$C$6:$C$17</c:f>
              <c:numCache>
                <c:formatCode>_("R$ "* #,##0_);_("R$ "* \(#,##0\);_("R$ "* "-"??_);_(@_)</c:formatCode>
                <c:ptCount val="12"/>
                <c:pt idx="0">
                  <c:v>361.28617052620967</c:v>
                </c:pt>
                <c:pt idx="1">
                  <c:v>338.94418424561013</c:v>
                </c:pt>
                <c:pt idx="2">
                  <c:v>382.87931950211089</c:v>
                </c:pt>
                <c:pt idx="3">
                  <c:v>413.82968412308719</c:v>
                </c:pt>
                <c:pt idx="4">
                  <c:v>344.60420941847826</c:v>
                </c:pt>
                <c:pt idx="5">
                  <c:v>338.56332549749942</c:v>
                </c:pt>
                <c:pt idx="6">
                  <c:v>380.09812486505115</c:v>
                </c:pt>
                <c:pt idx="7">
                  <c:v>417.87990354116891</c:v>
                </c:pt>
                <c:pt idx="8">
                  <c:v>370.91566703343409</c:v>
                </c:pt>
                <c:pt idx="9">
                  <c:v>325.36177931094943</c:v>
                </c:pt>
                <c:pt idx="10">
                  <c:v>381.27634024718026</c:v>
                </c:pt>
                <c:pt idx="11">
                  <c:v>426.53760668176193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A6F-85E5-7CBEDA2BA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80040"/>
        <c:axId val="401681608"/>
      </c:barChart>
      <c:catAx>
        <c:axId val="40168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1681608"/>
        <c:crosses val="autoZero"/>
        <c:auto val="1"/>
        <c:lblAlgn val="ctr"/>
        <c:lblOffset val="100"/>
        <c:noMultiLvlLbl val="0"/>
      </c:catAx>
      <c:valAx>
        <c:axId val="401681608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01680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234-4BA9-A70B-63E7093D857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9234-4BA9-A70B-63E7093D857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9234-4BA9-A70B-63E7093D8570}"/>
              </c:ext>
            </c:extLst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7-9234-4BA9-A70B-63E7093D8570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9-9234-4BA9-A70B-63E7093D8570}"/>
              </c:ext>
            </c:extLst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B-9234-4BA9-A70B-63E7093D857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9234-4BA9-A70B-63E7093D8570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F-9234-4BA9-A70B-63E7093D857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2.8'!$A$6:$A$10</c:f>
              <c:strCache>
                <c:ptCount val="5"/>
                <c:pt idx="0">
                  <c:v> Avianca </c:v>
                </c:pt>
                <c:pt idx="1">
                  <c:v> Latam </c:v>
                </c:pt>
                <c:pt idx="2">
                  <c:v> Azul </c:v>
                </c:pt>
                <c:pt idx="3">
                  <c:v> Gol </c:v>
                </c:pt>
                <c:pt idx="4">
                  <c:v> Outras </c:v>
                </c:pt>
              </c:strCache>
            </c:strRef>
          </c:cat>
          <c:val>
            <c:numRef>
              <c:f>'Fig 2.8'!$B$6:$B$10</c:f>
              <c:numCache>
                <c:formatCode>0.0%</c:formatCode>
                <c:ptCount val="5"/>
                <c:pt idx="0">
                  <c:v>7.8806005160684922E-2</c:v>
                </c:pt>
                <c:pt idx="1">
                  <c:v>2.0436461915470883E-2</c:v>
                </c:pt>
                <c:pt idx="2">
                  <c:v>1.2828123070303121E-3</c:v>
                </c:pt>
                <c:pt idx="3">
                  <c:v>-2.1070446371905804E-3</c:v>
                </c:pt>
                <c:pt idx="4">
                  <c:v>-5.9659995945436917E-3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34-4BA9-A70B-63E7093D8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90672"/>
        <c:axId val="132593024"/>
      </c:barChart>
      <c:catAx>
        <c:axId val="13259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2593024"/>
        <c:crosses val="autoZero"/>
        <c:auto val="1"/>
        <c:lblAlgn val="ctr"/>
        <c:lblOffset val="100"/>
        <c:noMultiLvlLbl val="0"/>
      </c:catAx>
      <c:valAx>
        <c:axId val="13259302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25906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'Fig 6.6'!$A$6:$B$17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'Fig 6.6'!$C$6:$C$17</c:f>
              <c:numCache>
                <c:formatCode>0%</c:formatCode>
                <c:ptCount val="12"/>
                <c:pt idx="0">
                  <c:v>1.8318227764403731E-2</c:v>
                </c:pt>
                <c:pt idx="1">
                  <c:v>-1.4455743952488304E-2</c:v>
                </c:pt>
                <c:pt idx="2">
                  <c:v>-8.1755191365788085E-2</c:v>
                </c:pt>
                <c:pt idx="3">
                  <c:v>2.958034910455363E-3</c:v>
                </c:pt>
                <c:pt idx="4">
                  <c:v>-4.6173815851944466E-2</c:v>
                </c:pt>
                <c:pt idx="5">
                  <c:v>-1.1236621420674039E-3</c:v>
                </c:pt>
                <c:pt idx="6">
                  <c:v>-7.2638935962285834E-3</c:v>
                </c:pt>
                <c:pt idx="7">
                  <c:v>9.7871650427015996E-3</c:v>
                </c:pt>
                <c:pt idx="8">
                  <c:v>7.6352687796114205E-2</c:v>
                </c:pt>
                <c:pt idx="9">
                  <c:v>-3.8992841788610962E-2</c:v>
                </c:pt>
                <c:pt idx="10">
                  <c:v>3.0997663630869536E-3</c:v>
                </c:pt>
                <c:pt idx="11">
                  <c:v>2.0718161048728371E-2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70-4B4A-8DF0-1AFB23BC9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4716600"/>
        <c:axId val="404715032"/>
      </c:barChart>
      <c:catAx>
        <c:axId val="40471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4715032"/>
        <c:crosses val="autoZero"/>
        <c:auto val="1"/>
        <c:lblAlgn val="ctr"/>
        <c:lblOffset val="100"/>
        <c:noMultiLvlLbl val="0"/>
      </c:catAx>
      <c:valAx>
        <c:axId val="404715032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04716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6.7'!$B$5</c:f>
              <c:strCache>
                <c:ptCount val="1"/>
                <c:pt idx="0">
                  <c:v>2018 (Todas as Rotas)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6441464082447162E-2"/>
                  <c:y val="-7.783511825564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17-4585-B71B-8093F6488B67}"/>
                </c:ext>
              </c:extLst>
            </c:dLbl>
            <c:dLbl>
              <c:idx val="2"/>
              <c:layout>
                <c:manualLayout>
                  <c:x val="-7.2210066336156328E-2"/>
                  <c:y val="1.2378563482888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17-4585-B71B-8093F6488B67}"/>
                </c:ext>
              </c:extLst>
            </c:dLbl>
            <c:dLbl>
              <c:idx val="3"/>
              <c:layout>
                <c:manualLayout>
                  <c:x val="-2.4377350052378642E-2"/>
                  <c:y val="6.0082599481710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17-4585-B71B-8093F6488B67}"/>
                </c:ext>
              </c:extLst>
            </c:dLbl>
            <c:dLbl>
              <c:idx val="4"/>
              <c:layout>
                <c:manualLayout>
                  <c:x val="-3.7179000027817183E-2"/>
                  <c:y val="2.845636587183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17-4585-B71B-8093F6488B67}"/>
                </c:ext>
              </c:extLst>
            </c:dLbl>
            <c:dLbl>
              <c:idx val="5"/>
              <c:layout>
                <c:manualLayout>
                  <c:x val="-3.7796363496913662E-2"/>
                  <c:y val="2.270614157912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17-4585-B71B-8093F6488B67}"/>
                </c:ext>
              </c:extLst>
            </c:dLbl>
            <c:dLbl>
              <c:idx val="6"/>
              <c:layout>
                <c:manualLayout>
                  <c:x val="-3.6081464971644786E-2"/>
                  <c:y val="1.9831029432772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17-4585-B71B-8093F6488B67}"/>
                </c:ext>
              </c:extLst>
            </c:dLbl>
            <c:dLbl>
              <c:idx val="7"/>
              <c:layout>
                <c:manualLayout>
                  <c:x val="-3.7796363496912982E-2"/>
                  <c:y val="1.6955917286419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17-4585-B71B-8093F6488B67}"/>
                </c:ext>
              </c:extLst>
            </c:dLbl>
            <c:dLbl>
              <c:idx val="8"/>
              <c:layout>
                <c:manualLayout>
                  <c:x val="-3.6081464971644786E-2"/>
                  <c:y val="4.2831926603593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17-4585-B71B-8093F6488B67}"/>
                </c:ext>
              </c:extLst>
            </c:dLbl>
            <c:dLbl>
              <c:idx val="9"/>
              <c:layout>
                <c:manualLayout>
                  <c:x val="-3.4366566446376472E-2"/>
                  <c:y val="4.2831926603593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17-4585-B71B-8093F6488B67}"/>
                </c:ext>
              </c:extLst>
            </c:dLbl>
            <c:dLbl>
              <c:idx val="10"/>
              <c:layout>
                <c:manualLayout>
                  <c:x val="-3.6081464971644786E-2"/>
                  <c:y val="3.4206590164535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17-4585-B71B-8093F6488B67}"/>
                </c:ext>
              </c:extLst>
            </c:dLbl>
            <c:dLbl>
              <c:idx val="11"/>
              <c:layout>
                <c:manualLayout>
                  <c:x val="-3.6081464971644786E-2"/>
                  <c:y val="2.558125372547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17-4585-B71B-8093F6488B67}"/>
                </c:ext>
              </c:extLst>
            </c:dLbl>
            <c:dLbl>
              <c:idx val="12"/>
              <c:layout>
                <c:manualLayout>
                  <c:x val="-3.6081464971644786E-2"/>
                  <c:y val="2.270614157912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17-4585-B71B-8093F6488B67}"/>
                </c:ext>
              </c:extLst>
            </c:dLbl>
            <c:dLbl>
              <c:idx val="13"/>
              <c:layout>
                <c:manualLayout>
                  <c:x val="-3.6081464971644786E-2"/>
                  <c:y val="1.9831029432772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17-4585-B71B-8093F6488B67}"/>
                </c:ext>
              </c:extLst>
            </c:dLbl>
            <c:dLbl>
              <c:idx val="14"/>
              <c:layout>
                <c:manualLayout>
                  <c:x val="-3.6081464971644786E-2"/>
                  <c:y val="2.558125372547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17-4585-B71B-8093F6488B67}"/>
                </c:ext>
              </c:extLst>
            </c:dLbl>
            <c:dLbl>
              <c:idx val="15"/>
              <c:layout>
                <c:manualLayout>
                  <c:x val="-2.061064970888575E-2"/>
                  <c:y val="3.133147801818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17-4585-B71B-8093F6488B6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6.7'!$A$6:$A$21</c:f>
              <c:strCache>
                <c:ptCount val="16"/>
                <c:pt idx="0">
                  <c:v>&gt; 0.00 e &lt; 100.00</c:v>
                </c:pt>
                <c:pt idx="1">
                  <c:v>&gt;= 100.00 e &lt; 200.00</c:v>
                </c:pt>
                <c:pt idx="2">
                  <c:v>&gt;= 200.00 e &lt; 300.00</c:v>
                </c:pt>
                <c:pt idx="3">
                  <c:v>&gt;= 300.00 e &lt; 400.00</c:v>
                </c:pt>
                <c:pt idx="4">
                  <c:v>&gt;= 400.00 e &lt; 500.00</c:v>
                </c:pt>
                <c:pt idx="5">
                  <c:v>&gt;= 500.00 e &lt; 600.00</c:v>
                </c:pt>
                <c:pt idx="6">
                  <c:v>&gt;= 600.00 e &lt; 700.00</c:v>
                </c:pt>
                <c:pt idx="7">
                  <c:v>&gt;= 700.00 e &lt; 800.00</c:v>
                </c:pt>
                <c:pt idx="8">
                  <c:v>&gt;= 800.00 e &lt; 900.00</c:v>
                </c:pt>
                <c:pt idx="9">
                  <c:v>&gt;= 900.00 e &lt; 1.000.00</c:v>
                </c:pt>
                <c:pt idx="10">
                  <c:v>&gt;= 1.000.00 e &lt; 1.100.00</c:v>
                </c:pt>
                <c:pt idx="11">
                  <c:v>&gt;= 1.100.00 e &lt; 1.200.00</c:v>
                </c:pt>
                <c:pt idx="12">
                  <c:v>&gt;= 1.200.00 e &lt; 1.300.00</c:v>
                </c:pt>
                <c:pt idx="13">
                  <c:v>&gt;= 1.300.00 e &lt; 1.400.00</c:v>
                </c:pt>
                <c:pt idx="14">
                  <c:v>&gt;= 1.400.00 e &lt; 1.500.00</c:v>
                </c:pt>
                <c:pt idx="15">
                  <c:v>&gt;= 1.500.00</c:v>
                </c:pt>
              </c:strCache>
            </c:strRef>
          </c:cat>
          <c:val>
            <c:numRef>
              <c:f>'Fig 6.7'!$B$6:$B$21</c:f>
              <c:numCache>
                <c:formatCode>0.0%</c:formatCode>
                <c:ptCount val="16"/>
                <c:pt idx="0">
                  <c:v>6.7119508053460633E-2</c:v>
                </c:pt>
                <c:pt idx="1">
                  <c:v>0.23905154672879333</c:v>
                </c:pt>
                <c:pt idx="2">
                  <c:v>0.20165366289194567</c:v>
                </c:pt>
                <c:pt idx="3">
                  <c:v>0.15621957379080273</c:v>
                </c:pt>
                <c:pt idx="4">
                  <c:v>0.10344677846426846</c:v>
                </c:pt>
                <c:pt idx="5">
                  <c:v>6.9541964320542882E-2</c:v>
                </c:pt>
                <c:pt idx="6">
                  <c:v>4.731554970433681E-2</c:v>
                </c:pt>
                <c:pt idx="7">
                  <c:v>3.2654281755545335E-2</c:v>
                </c:pt>
                <c:pt idx="8">
                  <c:v>2.3692521213626513E-2</c:v>
                </c:pt>
                <c:pt idx="9">
                  <c:v>1.6735008358852936E-2</c:v>
                </c:pt>
                <c:pt idx="10">
                  <c:v>1.2060212286870861E-2</c:v>
                </c:pt>
                <c:pt idx="11">
                  <c:v>8.854862125481722E-3</c:v>
                </c:pt>
                <c:pt idx="12">
                  <c:v>6.2702606599191087E-3</c:v>
                </c:pt>
                <c:pt idx="13">
                  <c:v>4.4607434046309465E-3</c:v>
                </c:pt>
                <c:pt idx="14">
                  <c:v>3.1355073491887066E-3</c:v>
                </c:pt>
                <c:pt idx="15">
                  <c:v>7.7880188917333944E-3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17-4585-B71B-8093F6488B67}"/>
            </c:ext>
          </c:extLst>
        </c:ser>
        <c:ser>
          <c:idx val="3"/>
          <c:order val="1"/>
          <c:tx>
            <c:strRef>
              <c:f>'Fig 6.7'!$C$5</c:f>
              <c:strCache>
                <c:ptCount val="1"/>
                <c:pt idx="0">
                  <c:v>2018 (Rotas monitoradas desde o início da série histórica)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'Fig 6.7'!$A$6:$A$21</c:f>
              <c:strCache>
                <c:ptCount val="16"/>
                <c:pt idx="0">
                  <c:v>&gt; 0.00 e &lt; 100.00</c:v>
                </c:pt>
                <c:pt idx="1">
                  <c:v>&gt;= 100.00 e &lt; 200.00</c:v>
                </c:pt>
                <c:pt idx="2">
                  <c:v>&gt;= 200.00 e &lt; 300.00</c:v>
                </c:pt>
                <c:pt idx="3">
                  <c:v>&gt;= 300.00 e &lt; 400.00</c:v>
                </c:pt>
                <c:pt idx="4">
                  <c:v>&gt;= 400.00 e &lt; 500.00</c:v>
                </c:pt>
                <c:pt idx="5">
                  <c:v>&gt;= 500.00 e &lt; 600.00</c:v>
                </c:pt>
                <c:pt idx="6">
                  <c:v>&gt;= 600.00 e &lt; 700.00</c:v>
                </c:pt>
                <c:pt idx="7">
                  <c:v>&gt;= 700.00 e &lt; 800.00</c:v>
                </c:pt>
                <c:pt idx="8">
                  <c:v>&gt;= 800.00 e &lt; 900.00</c:v>
                </c:pt>
                <c:pt idx="9">
                  <c:v>&gt;= 900.00 e &lt; 1.000.00</c:v>
                </c:pt>
                <c:pt idx="10">
                  <c:v>&gt;= 1.000.00 e &lt; 1.100.00</c:v>
                </c:pt>
                <c:pt idx="11">
                  <c:v>&gt;= 1.100.00 e &lt; 1.200.00</c:v>
                </c:pt>
                <c:pt idx="12">
                  <c:v>&gt;= 1.200.00 e &lt; 1.300.00</c:v>
                </c:pt>
                <c:pt idx="13">
                  <c:v>&gt;= 1.300.00 e &lt; 1.400.00</c:v>
                </c:pt>
                <c:pt idx="14">
                  <c:v>&gt;= 1.400.00 e &lt; 1.500.00</c:v>
                </c:pt>
                <c:pt idx="15">
                  <c:v>&gt;= 1.500.00</c:v>
                </c:pt>
              </c:strCache>
            </c:strRef>
          </c:cat>
          <c:val>
            <c:numRef>
              <c:f>'Fig 6.7'!$C$6:$C$21</c:f>
              <c:numCache>
                <c:formatCode>0.0%</c:formatCode>
                <c:ptCount val="16"/>
                <c:pt idx="0">
                  <c:v>0.11923960098248769</c:v>
                </c:pt>
                <c:pt idx="1">
                  <c:v>0.35819090333440423</c:v>
                </c:pt>
                <c:pt idx="2">
                  <c:v>0.20145292242651078</c:v>
                </c:pt>
                <c:pt idx="3">
                  <c:v>0.11481476804926209</c:v>
                </c:pt>
                <c:pt idx="4">
                  <c:v>6.7759588721156769E-2</c:v>
                </c:pt>
                <c:pt idx="5">
                  <c:v>4.2553012659436541E-2</c:v>
                </c:pt>
                <c:pt idx="6">
                  <c:v>2.8386239906748181E-2</c:v>
                </c:pt>
                <c:pt idx="7">
                  <c:v>1.9415948764615644E-2</c:v>
                </c:pt>
                <c:pt idx="8">
                  <c:v>1.3500205845900769E-2</c:v>
                </c:pt>
                <c:pt idx="9">
                  <c:v>9.4461910525520543E-3</c:v>
                </c:pt>
                <c:pt idx="10">
                  <c:v>6.9728164052217118E-3</c:v>
                </c:pt>
                <c:pt idx="11">
                  <c:v>5.2337860228887133E-3</c:v>
                </c:pt>
                <c:pt idx="12">
                  <c:v>3.8097706780334081E-3</c:v>
                </c:pt>
                <c:pt idx="13">
                  <c:v>2.7919589341361818E-3</c:v>
                </c:pt>
                <c:pt idx="14">
                  <c:v>2.0107922585975635E-3</c:v>
                </c:pt>
                <c:pt idx="15">
                  <c:v>4.4214939580476571E-3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17-4585-B71B-8093F6488B67}"/>
            </c:ext>
          </c:extLst>
        </c:ser>
        <c:ser>
          <c:idx val="2"/>
          <c:order val="3"/>
          <c:tx>
            <c:strRef>
              <c:f>'Fig 6.7'!$E$5</c:f>
              <c:strCache>
                <c:ptCount val="1"/>
                <c:pt idx="0">
                  <c:v>2009 (Rotas monitoradas desde o início da série histórica)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3.014330093195711E-2"/>
                  <c:y val="5.3724179999888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17-4585-B71B-8093F6488B67}"/>
                </c:ext>
              </c:extLst>
            </c:dLbl>
            <c:dLbl>
              <c:idx val="2"/>
              <c:layout>
                <c:manualLayout>
                  <c:x val="-2.2662451527110401E-2"/>
                  <c:y val="5.1457263042651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17-4585-B71B-8093F6488B67}"/>
                </c:ext>
              </c:extLst>
            </c:dLbl>
            <c:dLbl>
              <c:idx val="12"/>
              <c:layout>
                <c:manualLayout>
                  <c:x val="-3.6081464971644786E-2"/>
                  <c:y val="-3.1920989201576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17-4585-B71B-8093F6488B67}"/>
                </c:ext>
              </c:extLst>
            </c:dLbl>
            <c:dLbl>
              <c:idx val="13"/>
              <c:layout>
                <c:manualLayout>
                  <c:x val="-3.6081464971644786E-2"/>
                  <c:y val="-2.9045877055224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917-4585-B71B-8093F6488B67}"/>
                </c:ext>
              </c:extLst>
            </c:dLbl>
            <c:dLbl>
              <c:idx val="14"/>
              <c:layout>
                <c:manualLayout>
                  <c:x val="-3.6081464971644786E-2"/>
                  <c:y val="-2.6170764908871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17-4585-B71B-8093F6488B6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6.7'!$A$6:$A$21</c:f>
              <c:strCache>
                <c:ptCount val="16"/>
                <c:pt idx="0">
                  <c:v>&gt; 0.00 e &lt; 100.00</c:v>
                </c:pt>
                <c:pt idx="1">
                  <c:v>&gt;= 100.00 e &lt; 200.00</c:v>
                </c:pt>
                <c:pt idx="2">
                  <c:v>&gt;= 200.00 e &lt; 300.00</c:v>
                </c:pt>
                <c:pt idx="3">
                  <c:v>&gt;= 300.00 e &lt; 400.00</c:v>
                </c:pt>
                <c:pt idx="4">
                  <c:v>&gt;= 400.00 e &lt; 500.00</c:v>
                </c:pt>
                <c:pt idx="5">
                  <c:v>&gt;= 500.00 e &lt; 600.00</c:v>
                </c:pt>
                <c:pt idx="6">
                  <c:v>&gt;= 600.00 e &lt; 700.00</c:v>
                </c:pt>
                <c:pt idx="7">
                  <c:v>&gt;= 700.00 e &lt; 800.00</c:v>
                </c:pt>
                <c:pt idx="8">
                  <c:v>&gt;= 800.00 e &lt; 900.00</c:v>
                </c:pt>
                <c:pt idx="9">
                  <c:v>&gt;= 900.00 e &lt; 1.000.00</c:v>
                </c:pt>
                <c:pt idx="10">
                  <c:v>&gt;= 1.000.00 e &lt; 1.100.00</c:v>
                </c:pt>
                <c:pt idx="11">
                  <c:v>&gt;= 1.100.00 e &lt; 1.200.00</c:v>
                </c:pt>
                <c:pt idx="12">
                  <c:v>&gt;= 1.200.00 e &lt; 1.300.00</c:v>
                </c:pt>
                <c:pt idx="13">
                  <c:v>&gt;= 1.300.00 e &lt; 1.400.00</c:v>
                </c:pt>
                <c:pt idx="14">
                  <c:v>&gt;= 1.400.00 e &lt; 1.500.00</c:v>
                </c:pt>
                <c:pt idx="15">
                  <c:v>&gt;= 1.500.00</c:v>
                </c:pt>
              </c:strCache>
            </c:strRef>
          </c:cat>
          <c:val>
            <c:numRef>
              <c:f>'Fig 6.7'!$E$6:$E$21</c:f>
              <c:numCache>
                <c:formatCode>0.0%</c:formatCode>
                <c:ptCount val="16"/>
                <c:pt idx="0">
                  <c:v>5.5695340738417861E-3</c:v>
                </c:pt>
                <c:pt idx="1">
                  <c:v>8.8787733747049791E-2</c:v>
                </c:pt>
                <c:pt idx="2">
                  <c:v>0.1807923880572381</c:v>
                </c:pt>
                <c:pt idx="3">
                  <c:v>0.16242428493620956</c:v>
                </c:pt>
                <c:pt idx="4">
                  <c:v>0.11719161068840879</c:v>
                </c:pt>
                <c:pt idx="5">
                  <c:v>0.10886084932908614</c:v>
                </c:pt>
                <c:pt idx="6">
                  <c:v>0.10408246546402812</c:v>
                </c:pt>
                <c:pt idx="7">
                  <c:v>9.0939114360692533E-2</c:v>
                </c:pt>
                <c:pt idx="8">
                  <c:v>5.5901731337371467E-2</c:v>
                </c:pt>
                <c:pt idx="9">
                  <c:v>3.4532010761029228E-2</c:v>
                </c:pt>
                <c:pt idx="10">
                  <c:v>1.5374531680668107E-2</c:v>
                </c:pt>
                <c:pt idx="11">
                  <c:v>9.4286916767069937E-3</c:v>
                </c:pt>
                <c:pt idx="12">
                  <c:v>5.711185198633415E-3</c:v>
                </c:pt>
                <c:pt idx="13">
                  <c:v>5.2101041443166247E-3</c:v>
                </c:pt>
                <c:pt idx="14">
                  <c:v>4.8025219099176418E-3</c:v>
                </c:pt>
                <c:pt idx="15">
                  <c:v>1.0391242634801698E-2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917-4585-B71B-8093F6488B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713072"/>
        <c:axId val="40471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'Fig 6.7'!$D$5</c15:sqref>
                        </c15:formulaRef>
                      </c:ext>
                    </c:extLst>
                    <c:strCache>
                      <c:ptCount val="1"/>
                      <c:pt idx="0">
                        <c:v>2017 (Todas as Rotas)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'Fig 6.7'!$A$6:$A$21</c15:sqref>
                        </c15:formulaRef>
                      </c:ext>
                    </c:extLst>
                    <c:strCache>
                      <c:ptCount val="16"/>
                      <c:pt idx="0">
                        <c:v>&gt; 0.00 e &lt; 100.00</c:v>
                      </c:pt>
                      <c:pt idx="1">
                        <c:v>&gt;= 100.00 e &lt; 200.00</c:v>
                      </c:pt>
                      <c:pt idx="2">
                        <c:v>&gt;= 200.00 e &lt; 300.00</c:v>
                      </c:pt>
                      <c:pt idx="3">
                        <c:v>&gt;= 300.00 e &lt; 400.00</c:v>
                      </c:pt>
                      <c:pt idx="4">
                        <c:v>&gt;= 400.00 e &lt; 500.00</c:v>
                      </c:pt>
                      <c:pt idx="5">
                        <c:v>&gt;= 500.00 e &lt; 600.00</c:v>
                      </c:pt>
                      <c:pt idx="6">
                        <c:v>&gt;= 600.00 e &lt; 700.00</c:v>
                      </c:pt>
                      <c:pt idx="7">
                        <c:v>&gt;= 700.00 e &lt; 800.00</c:v>
                      </c:pt>
                      <c:pt idx="8">
                        <c:v>&gt;= 800.00 e &lt; 900.00</c:v>
                      </c:pt>
                      <c:pt idx="9">
                        <c:v>&gt;= 900.00 e &lt; 1.000.00</c:v>
                      </c:pt>
                      <c:pt idx="10">
                        <c:v>&gt;= 1.000.00 e &lt; 1.100.00</c:v>
                      </c:pt>
                      <c:pt idx="11">
                        <c:v>&gt;= 1.100.00 e &lt; 1.200.00</c:v>
                      </c:pt>
                      <c:pt idx="12">
                        <c:v>&gt;= 1.200.00 e &lt; 1.300.00</c:v>
                      </c:pt>
                      <c:pt idx="13">
                        <c:v>&gt;= 1.300.00 e &lt; 1.400.00</c:v>
                      </c:pt>
                      <c:pt idx="14">
                        <c:v>&gt;= 1.400.00 e &lt; 1.500.00</c:v>
                      </c:pt>
                      <c:pt idx="15">
                        <c:v>&gt;= 1.500.00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6.7'!$D$6:$D$21</c15:sqref>
                        </c15:formulaRef>
                      </c:ext>
                    </c:extLst>
                    <c:numCache>
                      <c:formatCode>0.0%</c:formatCode>
                      <c:ptCount val="16"/>
                      <c:pt idx="0">
                        <c:v>5.6691010686216119E-2</c:v>
                      </c:pt>
                      <c:pt idx="1">
                        <c:v>0.24220913063994812</c:v>
                      </c:pt>
                      <c:pt idx="2">
                        <c:v>0.2087272464021751</c:v>
                      </c:pt>
                      <c:pt idx="3">
                        <c:v>0.15952974108245668</c:v>
                      </c:pt>
                      <c:pt idx="4">
                        <c:v>0.10630742070772164</c:v>
                      </c:pt>
                      <c:pt idx="5">
                        <c:v>6.8982430918693549E-2</c:v>
                      </c:pt>
                      <c:pt idx="6">
                        <c:v>4.8200703334538866E-2</c:v>
                      </c:pt>
                      <c:pt idx="7">
                        <c:v>3.3267289531209145E-2</c:v>
                      </c:pt>
                      <c:pt idx="8">
                        <c:v>2.3131829404090629E-2</c:v>
                      </c:pt>
                      <c:pt idx="9">
                        <c:v>1.5980035188978142E-2</c:v>
                      </c:pt>
                      <c:pt idx="10">
                        <c:v>1.0595982333789621E-2</c:v>
                      </c:pt>
                      <c:pt idx="11">
                        <c:v>7.125325637247183E-3</c:v>
                      </c:pt>
                      <c:pt idx="12">
                        <c:v>5.0719668471618413E-3</c:v>
                      </c:pt>
                      <c:pt idx="13">
                        <c:v>3.5566989797204121E-3</c:v>
                      </c:pt>
                      <c:pt idx="14">
                        <c:v>2.826212802915797E-3</c:v>
                      </c:pt>
                      <c:pt idx="15">
                        <c:v>7.7969755031371346E-3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917-4585-B71B-8093F6488B67}"/>
                  </c:ext>
                </c:extLst>
              </c15:ser>
            </c15:filteredLineSeries>
          </c:ext>
        </c:extLst>
      </c:lineChart>
      <c:catAx>
        <c:axId val="40471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11504"/>
        <c:crosses val="autoZero"/>
        <c:auto val="1"/>
        <c:lblAlgn val="ctr"/>
        <c:lblOffset val="100"/>
        <c:noMultiLvlLbl val="0"/>
      </c:catAx>
      <c:valAx>
        <c:axId val="40471150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4713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2770755594622733E-2"/>
          <c:y val="0.78301481012934326"/>
          <c:w val="0.96243323577938855"/>
          <c:h val="0.194824525050712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7528670272335E-2"/>
          <c:y val="4.3033022035036318E-2"/>
          <c:w val="0.96767399664898557"/>
          <c:h val="0.76407565333403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6.8'!$B$5</c:f>
              <c:strCache>
                <c:ptCount val="1"/>
                <c:pt idx="0">
                  <c:v>Variação % da Distância Média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599-414F-A7EA-0A1D3055E76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599-414F-A7EA-0A1D3055E761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599-414F-A7EA-0A1D3055E761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599-414F-A7EA-0A1D3055E76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6.8'!$A$6:$A$15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6.8'!$B$6:$B$15</c:f>
              <c:numCache>
                <c:formatCode>0.0%</c:formatCode>
                <c:ptCount val="10"/>
                <c:pt idx="0">
                  <c:v>3.9433705076496028E-3</c:v>
                </c:pt>
                <c:pt idx="1">
                  <c:v>0.12652889530710049</c:v>
                </c:pt>
                <c:pt idx="2">
                  <c:v>4.229588320277736E-3</c:v>
                </c:pt>
                <c:pt idx="3">
                  <c:v>5.0067863726929581E-3</c:v>
                </c:pt>
                <c:pt idx="4">
                  <c:v>2.7570035915287464E-2</c:v>
                </c:pt>
                <c:pt idx="5">
                  <c:v>6.9316431312717065E-3</c:v>
                </c:pt>
                <c:pt idx="6">
                  <c:v>3.0884567824197573E-2</c:v>
                </c:pt>
                <c:pt idx="7">
                  <c:v>2.2614666573286576E-2</c:v>
                </c:pt>
                <c:pt idx="8">
                  <c:v>2.6091040599762961E-2</c:v>
                </c:pt>
                <c:pt idx="9">
                  <c:v>1.7852012456084903E-2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599-414F-A7EA-0A1D3055E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45"/>
        <c:axId val="404718952"/>
        <c:axId val="404715816"/>
      </c:barChart>
      <c:catAx>
        <c:axId val="40471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4715816"/>
        <c:crosses val="autoZero"/>
        <c:auto val="1"/>
        <c:lblAlgn val="ctr"/>
        <c:lblOffset val="100"/>
        <c:noMultiLvlLbl val="0"/>
      </c:catAx>
      <c:valAx>
        <c:axId val="40471581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4718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6.9'!$B$5</c:f>
              <c:strCache>
                <c:ptCount val="1"/>
                <c:pt idx="0">
                  <c:v>52 Rotas monitoradas desde o início da série histórica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BA-4ED1-AD47-ADE9DB8A9ABB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BA-4ED1-AD47-ADE9DB8A9ABB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BA-4ED1-AD47-ADE9DB8A9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6.9'!$A$6:$A$15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6.9'!$B$6:$B$15</c:f>
              <c:numCache>
                <c:formatCode>"R$ "#,##0.000</c:formatCode>
                <c:ptCount val="10"/>
                <c:pt idx="0">
                  <c:v>0.66278705036199359</c:v>
                </c:pt>
                <c:pt idx="1">
                  <c:v>0.49852386871390991</c:v>
                </c:pt>
                <c:pt idx="2">
                  <c:v>0.45297829032876391</c:v>
                </c:pt>
                <c:pt idx="3">
                  <c:v>0.45470139589825126</c:v>
                </c:pt>
                <c:pt idx="4">
                  <c:v>0.48316310495407294</c:v>
                </c:pt>
                <c:pt idx="5">
                  <c:v>0.44899803293286816</c:v>
                </c:pt>
                <c:pt idx="6">
                  <c:v>0.38677505336694107</c:v>
                </c:pt>
                <c:pt idx="7">
                  <c:v>0.36696575975952717</c:v>
                </c:pt>
                <c:pt idx="8">
                  <c:v>0.36398755387031784</c:v>
                </c:pt>
                <c:pt idx="9">
                  <c:v>0.35906236880495829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A-4ED1-AD47-ADE9DB8A9ABB}"/>
            </c:ext>
          </c:extLst>
        </c:ser>
        <c:ser>
          <c:idx val="1"/>
          <c:order val="1"/>
          <c:tx>
            <c:strRef>
              <c:f>'Fig 6.9'!$C$5</c:f>
              <c:strCache>
                <c:ptCount val="1"/>
                <c:pt idx="0">
                  <c:v>Todas as Rotas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BF-40D7-B9AA-D96EB86DF1D6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BA-4ED1-AD47-ADE9DB8A9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6.9'!$C$6:$C$15</c:f>
              <c:numCache>
                <c:formatCode>"R$ "#,##0.000</c:formatCode>
                <c:ptCount val="10"/>
                <c:pt idx="2">
                  <c:v>0.40151222649749008</c:v>
                </c:pt>
                <c:pt idx="3">
                  <c:v>0.40285151715791567</c:v>
                </c:pt>
                <c:pt idx="4">
                  <c:v>0.41019777341035524</c:v>
                </c:pt>
                <c:pt idx="5">
                  <c:v>0.38913529950575615</c:v>
                </c:pt>
                <c:pt idx="6">
                  <c:v>0.34355799690465066</c:v>
                </c:pt>
                <c:pt idx="7">
                  <c:v>0.3297405376739968</c:v>
                </c:pt>
                <c:pt idx="8">
                  <c:v>0.31949452045271898</c:v>
                </c:pt>
                <c:pt idx="9">
                  <c:v>0.31692554973268178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BA-4ED1-AD47-ADE9DB8A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17384"/>
        <c:axId val="404719736"/>
      </c:lineChart>
      <c:catAx>
        <c:axId val="40471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719736"/>
        <c:crosses val="autoZero"/>
        <c:auto val="1"/>
        <c:lblAlgn val="ctr"/>
        <c:lblOffset val="100"/>
        <c:noMultiLvlLbl val="0"/>
      </c:catAx>
      <c:valAx>
        <c:axId val="404719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17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27528670272335E-2"/>
          <c:y val="4.3033022035036318E-2"/>
          <c:w val="0.96767399664898557"/>
          <c:h val="0.76407565333403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6.10'!$B$5</c:f>
              <c:strCache>
                <c:ptCount val="1"/>
                <c:pt idx="0">
                  <c:v>52 Rotas monitoradas desde o início da série histórica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C98-42DE-838A-839DCF39F244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C98-42DE-838A-839DCF39F24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C98-42DE-838A-839DCF39F244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C98-42DE-838A-839DCF39F24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6.10'!$A$6:$A$15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6.10'!$B$6:$B$15</c:f>
              <c:numCache>
                <c:formatCode>0.0%</c:formatCode>
                <c:ptCount val="10"/>
                <c:pt idx="0">
                  <c:v>-0.28096060800739581</c:v>
                </c:pt>
                <c:pt idx="1">
                  <c:v>-0.247837041412273</c:v>
                </c:pt>
                <c:pt idx="2">
                  <c:v>-9.136087807118308E-2</c:v>
                </c:pt>
                <c:pt idx="3">
                  <c:v>3.8039473552623198E-3</c:v>
                </c:pt>
                <c:pt idx="4">
                  <c:v>6.2594285640131558E-2</c:v>
                </c:pt>
                <c:pt idx="5">
                  <c:v>-7.0711260174661589E-2</c:v>
                </c:pt>
                <c:pt idx="6">
                  <c:v>-0.13858185337580387</c:v>
                </c:pt>
                <c:pt idx="7">
                  <c:v>-5.1216575203004204E-2</c:v>
                </c:pt>
                <c:pt idx="8">
                  <c:v>-8.1157596042773818E-3</c:v>
                </c:pt>
                <c:pt idx="9">
                  <c:v>-1.3531190868999614E-2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C98-42DE-838A-839DCF39F244}"/>
            </c:ext>
          </c:extLst>
        </c:ser>
        <c:ser>
          <c:idx val="1"/>
          <c:order val="1"/>
          <c:tx>
            <c:strRef>
              <c:f>'Fig 6.10'!$C$5</c:f>
              <c:strCache>
                <c:ptCount val="1"/>
                <c:pt idx="0">
                  <c:v>Todas as Rotas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6.10'!$A$6:$A$15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6.10'!$C$6:$C$15</c:f>
              <c:numCache>
                <c:formatCode>0.0%</c:formatCode>
                <c:ptCount val="10"/>
                <c:pt idx="2">
                  <c:v>-7.1662463108877875E-2</c:v>
                </c:pt>
                <c:pt idx="3">
                  <c:v>3.3356161333083795E-3</c:v>
                </c:pt>
                <c:pt idx="4">
                  <c:v>1.8235642512325134E-2</c:v>
                </c:pt>
                <c:pt idx="5">
                  <c:v>-5.1347119048178083E-2</c:v>
                </c:pt>
                <c:pt idx="6">
                  <c:v>-0.11712456479531305</c:v>
                </c:pt>
                <c:pt idx="7">
                  <c:v>-4.0218709374093504E-2</c:v>
                </c:pt>
                <c:pt idx="8">
                  <c:v>-3.1072968138990884E-2</c:v>
                </c:pt>
                <c:pt idx="9">
                  <c:v>-8.0407348345035989E-3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C98-42DE-838A-839DCF39F2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45"/>
        <c:axId val="404711896"/>
        <c:axId val="404718168"/>
      </c:barChart>
      <c:catAx>
        <c:axId val="40471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4718168"/>
        <c:crosses val="autoZero"/>
        <c:auto val="1"/>
        <c:lblAlgn val="ctr"/>
        <c:lblOffset val="100"/>
        <c:noMultiLvlLbl val="0"/>
      </c:catAx>
      <c:valAx>
        <c:axId val="40471816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4711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6.11'!$C$5</c:f>
              <c:strCache>
                <c:ptCount val="1"/>
                <c:pt idx="0">
                  <c:v>Yield Tarifa Aérea médio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multiLvlStrRef>
              <c:f>'Fig 6.11'!$A$6:$B$41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'Fig 6.11'!$C$6:$C$41</c:f>
              <c:numCache>
                <c:formatCode>_("R$ "* #,##0.000_);_("R$ "* \(#,##0.000\);_("R$ "* "-"??_);_(@_)</c:formatCode>
                <c:ptCount val="36"/>
                <c:pt idx="0">
                  <c:v>0.32442095867129223</c:v>
                </c:pt>
                <c:pt idx="1">
                  <c:v>0.33009112482160302</c:v>
                </c:pt>
                <c:pt idx="2">
                  <c:v>0.32528556892998817</c:v>
                </c:pt>
                <c:pt idx="3">
                  <c:v>0.29751561636662432</c:v>
                </c:pt>
                <c:pt idx="4">
                  <c:v>0.2974137392012775</c:v>
                </c:pt>
                <c:pt idx="5">
                  <c:v>0.30460724179710064</c:v>
                </c:pt>
                <c:pt idx="6">
                  <c:v>0.32975594899824434</c:v>
                </c:pt>
                <c:pt idx="7">
                  <c:v>0.32982974714982938</c:v>
                </c:pt>
                <c:pt idx="8">
                  <c:v>0.36945009908493542</c:v>
                </c:pt>
                <c:pt idx="9">
                  <c:v>0.37083481909328603</c:v>
                </c:pt>
                <c:pt idx="10">
                  <c:v>0.35574811300057657</c:v>
                </c:pt>
                <c:pt idx="11">
                  <c:v>0.33287154005923753</c:v>
                </c:pt>
                <c:pt idx="12">
                  <c:v>0.32635067094329379</c:v>
                </c:pt>
                <c:pt idx="13">
                  <c:v>0.30006174376665284</c:v>
                </c:pt>
                <c:pt idx="14">
                  <c:v>0.28658169436095388</c:v>
                </c:pt>
                <c:pt idx="15">
                  <c:v>0.2982481520456971</c:v>
                </c:pt>
                <c:pt idx="16">
                  <c:v>0.28772673611585892</c:v>
                </c:pt>
                <c:pt idx="17">
                  <c:v>0.29269206709946988</c:v>
                </c:pt>
                <c:pt idx="18">
                  <c:v>0.31954254051530728</c:v>
                </c:pt>
                <c:pt idx="19">
                  <c:v>0.33507019883872641</c:v>
                </c:pt>
                <c:pt idx="20">
                  <c:v>0.33613498787966967</c:v>
                </c:pt>
                <c:pt idx="21">
                  <c:v>0.34631569625605124</c:v>
                </c:pt>
                <c:pt idx="22">
                  <c:v>0.33472381961793146</c:v>
                </c:pt>
                <c:pt idx="23">
                  <c:v>0.37141391616899461</c:v>
                </c:pt>
                <c:pt idx="24">
                  <c:v>0.32519834128323016</c:v>
                </c:pt>
                <c:pt idx="25">
                  <c:v>0.32147514717773013</c:v>
                </c:pt>
                <c:pt idx="26">
                  <c:v>0.31580195489603602</c:v>
                </c:pt>
                <c:pt idx="27">
                  <c:v>0.28891037989962781</c:v>
                </c:pt>
                <c:pt idx="28">
                  <c:v>0.29327491940612704</c:v>
                </c:pt>
                <c:pt idx="29">
                  <c:v>0.2570294882299281</c:v>
                </c:pt>
                <c:pt idx="30">
                  <c:v>0.3123041561053661</c:v>
                </c:pt>
                <c:pt idx="31">
                  <c:v>0.33392605436149936</c:v>
                </c:pt>
                <c:pt idx="32">
                  <c:v>0.32748510603279907</c:v>
                </c:pt>
                <c:pt idx="33">
                  <c:v>0.34358908609787375</c:v>
                </c:pt>
                <c:pt idx="34">
                  <c:v>0.33919796456465534</c:v>
                </c:pt>
                <c:pt idx="35">
                  <c:v>0.3609962306725632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6-4C9C-A976-9D33D5D6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13464"/>
        <c:axId val="404723264"/>
      </c:lineChart>
      <c:catAx>
        <c:axId val="40471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4723264"/>
        <c:crosses val="autoZero"/>
        <c:auto val="1"/>
        <c:lblAlgn val="ctr"/>
        <c:lblOffset val="100"/>
        <c:noMultiLvlLbl val="0"/>
      </c:catAx>
      <c:valAx>
        <c:axId val="404723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crossAx val="404713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 6.12'!$A$6:$B$41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'Fig 6.12'!$C$6:$C$41</c:f>
              <c:numCache>
                <c:formatCode>0.0%</c:formatCode>
                <c:ptCount val="36"/>
                <c:pt idx="0">
                  <c:v>-4.586530166519457E-2</c:v>
                </c:pt>
                <c:pt idx="1">
                  <c:v>3.9240067988961153E-2</c:v>
                </c:pt>
                <c:pt idx="2">
                  <c:v>0.11413058637467023</c:v>
                </c:pt>
                <c:pt idx="3">
                  <c:v>5.637928663462409E-2</c:v>
                </c:pt>
                <c:pt idx="4">
                  <c:v>-5.8099214703960678E-2</c:v>
                </c:pt>
                <c:pt idx="5">
                  <c:v>-0.11120077286011511</c:v>
                </c:pt>
                <c:pt idx="6">
                  <c:v>-0.11087219044417394</c:v>
                </c:pt>
                <c:pt idx="7">
                  <c:v>-0.12292330259765913</c:v>
                </c:pt>
                <c:pt idx="8">
                  <c:v>-6.772432915273699E-2</c:v>
                </c:pt>
                <c:pt idx="9">
                  <c:v>-8.5706577599128531E-2</c:v>
                </c:pt>
                <c:pt idx="10">
                  <c:v>-1.867086477162333E-2</c:v>
                </c:pt>
                <c:pt idx="11">
                  <c:v>-8.1721018930313624E-2</c:v>
                </c:pt>
                <c:pt idx="12">
                  <c:v>5.9481738784847478E-3</c:v>
                </c:pt>
                <c:pt idx="13">
                  <c:v>-9.0973003503743058E-2</c:v>
                </c:pt>
                <c:pt idx="14">
                  <c:v>-0.11898429646402359</c:v>
                </c:pt>
                <c:pt idx="15">
                  <c:v>2.4621755591144605E-3</c:v>
                </c:pt>
                <c:pt idx="16">
                  <c:v>-3.2570798885867273E-2</c:v>
                </c:pt>
                <c:pt idx="17">
                  <c:v>-3.9116518134416106E-2</c:v>
                </c:pt>
                <c:pt idx="18">
                  <c:v>-3.0972628436163364E-2</c:v>
                </c:pt>
                <c:pt idx="19">
                  <c:v>1.5888353716368972E-2</c:v>
                </c:pt>
                <c:pt idx="20">
                  <c:v>-9.0174860658534334E-2</c:v>
                </c:pt>
                <c:pt idx="21">
                  <c:v>-6.6118718024336415E-2</c:v>
                </c:pt>
                <c:pt idx="22">
                  <c:v>-5.9098819120401165E-2</c:v>
                </c:pt>
                <c:pt idx="23">
                  <c:v>0.1157875380481555</c:v>
                </c:pt>
                <c:pt idx="24">
                  <c:v>-3.5309553883645897E-3</c:v>
                </c:pt>
                <c:pt idx="25">
                  <c:v>7.1363323902195644E-2</c:v>
                </c:pt>
                <c:pt idx="26">
                  <c:v>0.1019613642812747</c:v>
                </c:pt>
                <c:pt idx="27">
                  <c:v>-3.1308734293980039E-2</c:v>
                </c:pt>
                <c:pt idx="28">
                  <c:v>1.928282148946367E-2</c:v>
                </c:pt>
                <c:pt idx="29">
                  <c:v>-0.12184333939403294</c:v>
                </c:pt>
                <c:pt idx="30">
                  <c:v>-2.2652334172058173E-2</c:v>
                </c:pt>
                <c:pt idx="31">
                  <c:v>-3.4146411145854864E-3</c:v>
                </c:pt>
                <c:pt idx="32">
                  <c:v>-2.5733357605626891E-2</c:v>
                </c:pt>
                <c:pt idx="33">
                  <c:v>-7.8731925455713357E-3</c:v>
                </c:pt>
                <c:pt idx="34">
                  <c:v>1.3366676299974307E-2</c:v>
                </c:pt>
                <c:pt idx="35">
                  <c:v>-2.8048721501569486E-2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16B-4BD9-86F9-2B7C95DF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717776"/>
        <c:axId val="404711112"/>
      </c:barChart>
      <c:catAx>
        <c:axId val="40471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4711112"/>
        <c:crosses val="autoZero"/>
        <c:auto val="1"/>
        <c:lblAlgn val="ctr"/>
        <c:lblOffset val="100"/>
        <c:noMultiLvlLbl val="0"/>
      </c:catAx>
      <c:valAx>
        <c:axId val="40471111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471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&quot;R$ &quot;#,##0.0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'Fig 6.13'!$A$6:$B$17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'Fig 6.13'!$C$6:$C$17</c:f>
              <c:numCache>
                <c:formatCode>_("R$ "* #,##0.000_);_("R$ "* \(#,##0.000\);_("R$ "* "-"??_);_(@_)</c:formatCode>
                <c:ptCount val="12"/>
                <c:pt idx="0">
                  <c:v>0.32640357622962946</c:v>
                </c:pt>
                <c:pt idx="1">
                  <c:v>0.2998841959614883</c:v>
                </c:pt>
                <c:pt idx="2">
                  <c:v>0.34206530447884048</c:v>
                </c:pt>
                <c:pt idx="3">
                  <c:v>0.35382984309655846</c:v>
                </c:pt>
                <c:pt idx="4">
                  <c:v>0.30379718284522156</c:v>
                </c:pt>
                <c:pt idx="5">
                  <c:v>0.29265924152960593</c:v>
                </c:pt>
                <c:pt idx="6">
                  <c:v>0.330247147899424</c:v>
                </c:pt>
                <c:pt idx="7">
                  <c:v>0.34908376850795891</c:v>
                </c:pt>
                <c:pt idx="8">
                  <c:v>0.32093138323914305</c:v>
                </c:pt>
                <c:pt idx="9">
                  <c:v>0.27929977463011313</c:v>
                </c:pt>
                <c:pt idx="10">
                  <c:v>0.32445671333302345</c:v>
                </c:pt>
                <c:pt idx="11">
                  <c:v>0.34686224895420803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E-4DF7-B99E-4E315C18E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4722480"/>
        <c:axId val="404720128"/>
      </c:barChart>
      <c:catAx>
        <c:axId val="40472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4720128"/>
        <c:crosses val="autoZero"/>
        <c:auto val="1"/>
        <c:lblAlgn val="ctr"/>
        <c:lblOffset val="100"/>
        <c:noMultiLvlLbl val="0"/>
      </c:catAx>
      <c:valAx>
        <c:axId val="404720128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04722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'Fig 6.14'!$A$6:$B$17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'Fig 6.14'!$C$6:$C$17</c:f>
              <c:numCache>
                <c:formatCode>0%</c:formatCode>
                <c:ptCount val="12"/>
                <c:pt idx="0">
                  <c:v>3.4578617455368686E-2</c:v>
                </c:pt>
                <c:pt idx="1">
                  <c:v>-4.0127428054185448E-2</c:v>
                </c:pt>
                <c:pt idx="2">
                  <c:v>-0.1014321049883584</c:v>
                </c:pt>
                <c:pt idx="3">
                  <c:v>-6.0048477803569283E-2</c:v>
                </c:pt>
                <c:pt idx="4">
                  <c:v>-6.9259024810757547E-2</c:v>
                </c:pt>
                <c:pt idx="5">
                  <c:v>-2.4092481461778038E-2</c:v>
                </c:pt>
                <c:pt idx="6">
                  <c:v>-3.4549416221625398E-2</c:v>
                </c:pt>
                <c:pt idx="7">
                  <c:v>-1.3413437789938951E-2</c:v>
                </c:pt>
                <c:pt idx="8">
                  <c:v>5.6400129301564392E-2</c:v>
                </c:pt>
                <c:pt idx="9">
                  <c:v>-4.5648539337656051E-2</c:v>
                </c:pt>
                <c:pt idx="10">
                  <c:v>-1.7533639891309558E-2</c:v>
                </c:pt>
                <c:pt idx="11">
                  <c:v>-6.3638580597603304E-3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F6-4996-BB2F-828E49BCD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4721696"/>
        <c:axId val="404713856"/>
      </c:barChart>
      <c:catAx>
        <c:axId val="4047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404713856"/>
        <c:crosses val="autoZero"/>
        <c:auto val="1"/>
        <c:lblAlgn val="ctr"/>
        <c:lblOffset val="100"/>
        <c:noMultiLvlLbl val="0"/>
      </c:catAx>
      <c:valAx>
        <c:axId val="40471385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04721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6.15'!$B$5</c:f>
              <c:strCache>
                <c:ptCount val="1"/>
                <c:pt idx="0">
                  <c:v>2018 (Todas as Rotas)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6441464082447162E-2"/>
                  <c:y val="-7.783511825564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0A-45FC-9FD8-DC9ADA117FCD}"/>
                </c:ext>
              </c:extLst>
            </c:dLbl>
            <c:dLbl>
              <c:idx val="2"/>
              <c:layout>
                <c:manualLayout>
                  <c:x val="-3.4130098403497774E-2"/>
                  <c:y val="-3.5947264750649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0A-45FC-9FD8-DC9ADA117FCD}"/>
                </c:ext>
              </c:extLst>
            </c:dLbl>
            <c:dLbl>
              <c:idx val="3"/>
              <c:layout>
                <c:manualLayout>
                  <c:x val="-2.4377334133964826E-2"/>
                  <c:y val="-2.5198092935804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0A-45FC-9FD8-DC9ADA117FCD}"/>
                </c:ext>
              </c:extLst>
            </c:dLbl>
            <c:dLbl>
              <c:idx val="4"/>
              <c:layout>
                <c:manualLayout>
                  <c:x val="-3.7179000027817183E-2"/>
                  <c:y val="2.845636587183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0A-45FC-9FD8-DC9ADA117FCD}"/>
                </c:ext>
              </c:extLst>
            </c:dLbl>
            <c:dLbl>
              <c:idx val="5"/>
              <c:layout>
                <c:manualLayout>
                  <c:x val="-3.7796363496913662E-2"/>
                  <c:y val="2.270614157912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0A-45FC-9FD8-DC9ADA117FCD}"/>
                </c:ext>
              </c:extLst>
            </c:dLbl>
            <c:dLbl>
              <c:idx val="6"/>
              <c:layout>
                <c:manualLayout>
                  <c:x val="-3.6081464971644786E-2"/>
                  <c:y val="1.9831029432772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0A-45FC-9FD8-DC9ADA117FCD}"/>
                </c:ext>
              </c:extLst>
            </c:dLbl>
            <c:dLbl>
              <c:idx val="7"/>
              <c:layout>
                <c:manualLayout>
                  <c:x val="-3.7796363496912982E-2"/>
                  <c:y val="1.6955917286419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0A-45FC-9FD8-DC9ADA117FCD}"/>
                </c:ext>
              </c:extLst>
            </c:dLbl>
            <c:dLbl>
              <c:idx val="8"/>
              <c:layout>
                <c:manualLayout>
                  <c:x val="-3.6081464971644786E-2"/>
                  <c:y val="4.2831926603593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0A-45FC-9FD8-DC9ADA117FCD}"/>
                </c:ext>
              </c:extLst>
            </c:dLbl>
            <c:dLbl>
              <c:idx val="9"/>
              <c:layout>
                <c:manualLayout>
                  <c:x val="-3.4366566446376472E-2"/>
                  <c:y val="4.2831926603593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0A-45FC-9FD8-DC9ADA117FCD}"/>
                </c:ext>
              </c:extLst>
            </c:dLbl>
            <c:dLbl>
              <c:idx val="10"/>
              <c:layout>
                <c:manualLayout>
                  <c:x val="-3.6081464971644786E-2"/>
                  <c:y val="3.4206590164535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0A-45FC-9FD8-DC9ADA117FCD}"/>
                </c:ext>
              </c:extLst>
            </c:dLbl>
            <c:dLbl>
              <c:idx val="11"/>
              <c:layout>
                <c:manualLayout>
                  <c:x val="-3.6081464971644786E-2"/>
                  <c:y val="2.558125372547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0A-45FC-9FD8-DC9ADA117FCD}"/>
                </c:ext>
              </c:extLst>
            </c:dLbl>
            <c:dLbl>
              <c:idx val="12"/>
              <c:layout>
                <c:manualLayout>
                  <c:x val="-3.6081464971644786E-2"/>
                  <c:y val="2.270614157912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0A-45FC-9FD8-DC9ADA117FCD}"/>
                </c:ext>
              </c:extLst>
            </c:dLbl>
            <c:dLbl>
              <c:idx val="13"/>
              <c:layout>
                <c:manualLayout>
                  <c:x val="-3.6081464971644786E-2"/>
                  <c:y val="1.9831029432772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0A-45FC-9FD8-DC9ADA117FCD}"/>
                </c:ext>
              </c:extLst>
            </c:dLbl>
            <c:dLbl>
              <c:idx val="14"/>
              <c:layout>
                <c:manualLayout>
                  <c:x val="-3.6081464971644786E-2"/>
                  <c:y val="2.558125372547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0A-45FC-9FD8-DC9ADA117FCD}"/>
                </c:ext>
              </c:extLst>
            </c:dLbl>
            <c:dLbl>
              <c:idx val="15"/>
              <c:layout>
                <c:manualLayout>
                  <c:x val="-2.061064970888575E-2"/>
                  <c:y val="3.133147801818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0A-45FC-9FD8-DC9ADA117FC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6.15'!$A$6:$A$21</c:f>
              <c:strCache>
                <c:ptCount val="16"/>
                <c:pt idx="0">
                  <c:v>&gt; 0.00 e &lt; 0.10</c:v>
                </c:pt>
                <c:pt idx="1">
                  <c:v>&gt;= 0.10 e &lt; 0.20</c:v>
                </c:pt>
                <c:pt idx="2">
                  <c:v>&gt;= 0.20 e &lt; 0.30</c:v>
                </c:pt>
                <c:pt idx="3">
                  <c:v>&gt;= 0.30 e &lt; 0.40</c:v>
                </c:pt>
                <c:pt idx="4">
                  <c:v>&gt;= 0.40 e &lt; 0.50</c:v>
                </c:pt>
                <c:pt idx="5">
                  <c:v>&gt;= 0.50 e &lt; 0.60</c:v>
                </c:pt>
                <c:pt idx="6">
                  <c:v>&gt;= 0.60 e &lt; 0.70</c:v>
                </c:pt>
                <c:pt idx="7">
                  <c:v>&gt;= 0.70 e &lt; 0.80</c:v>
                </c:pt>
                <c:pt idx="8">
                  <c:v>&gt;= 0.80 e &lt; 0.90</c:v>
                </c:pt>
                <c:pt idx="9">
                  <c:v>&gt;= 0.90 e &lt; 1.00</c:v>
                </c:pt>
                <c:pt idx="10">
                  <c:v>&gt;= 1.00 e &lt;1.10</c:v>
                </c:pt>
                <c:pt idx="11">
                  <c:v>&gt;= 1.10 e &lt; 1.20</c:v>
                </c:pt>
                <c:pt idx="12">
                  <c:v>&gt;= 1.20 e &lt; 1.30</c:v>
                </c:pt>
                <c:pt idx="13">
                  <c:v>&gt;= 1.30 e &lt; 1.40</c:v>
                </c:pt>
                <c:pt idx="14">
                  <c:v>&gt;= 1.40 e &lt; 1.50</c:v>
                </c:pt>
                <c:pt idx="15">
                  <c:v>&gt;= 1.50</c:v>
                </c:pt>
              </c:strCache>
            </c:strRef>
          </c:cat>
          <c:val>
            <c:numRef>
              <c:f>'Fig 6.15'!$B$6:$B$21</c:f>
              <c:numCache>
                <c:formatCode>0.0%</c:formatCode>
                <c:ptCount val="16"/>
                <c:pt idx="0">
                  <c:v>4.2090110095942546E-2</c:v>
                </c:pt>
                <c:pt idx="1">
                  <c:v>0.28360206585813696</c:v>
                </c:pt>
                <c:pt idx="2">
                  <c:v>0.23229018862296585</c:v>
                </c:pt>
                <c:pt idx="3">
                  <c:v>0.13596485144011863</c:v>
                </c:pt>
                <c:pt idx="4">
                  <c:v>8.0197749436090371E-2</c:v>
                </c:pt>
                <c:pt idx="5">
                  <c:v>5.1401329195253156E-2</c:v>
                </c:pt>
                <c:pt idx="6">
                  <c:v>3.5812581093615799E-2</c:v>
                </c:pt>
                <c:pt idx="7">
                  <c:v>2.6988378221418679E-2</c:v>
                </c:pt>
                <c:pt idx="8">
                  <c:v>2.1436390538800049E-2</c:v>
                </c:pt>
                <c:pt idx="9">
                  <c:v>1.5889453215264648E-2</c:v>
                </c:pt>
                <c:pt idx="10">
                  <c:v>1.3374239715576705E-2</c:v>
                </c:pt>
                <c:pt idx="11">
                  <c:v>1.0582253070503847E-2</c:v>
                </c:pt>
                <c:pt idx="12">
                  <c:v>8.4455336819490717E-3</c:v>
                </c:pt>
                <c:pt idx="13">
                  <c:v>6.7936352977596096E-3</c:v>
                </c:pt>
                <c:pt idx="14">
                  <c:v>5.7687221592221723E-3</c:v>
                </c:pt>
                <c:pt idx="15">
                  <c:v>2.9362518357381885E-2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0A-45FC-9FD8-DC9ADA117FCD}"/>
            </c:ext>
          </c:extLst>
        </c:ser>
        <c:ser>
          <c:idx val="3"/>
          <c:order val="1"/>
          <c:tx>
            <c:strRef>
              <c:f>'Fig 6.15'!$C$5</c:f>
              <c:strCache>
                <c:ptCount val="1"/>
                <c:pt idx="0">
                  <c:v>2018 (Rotas monitoradas desde o início da série histórica)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'Fig 6.15'!$A$6:$A$21</c:f>
              <c:strCache>
                <c:ptCount val="16"/>
                <c:pt idx="0">
                  <c:v>&gt; 0.00 e &lt; 0.10</c:v>
                </c:pt>
                <c:pt idx="1">
                  <c:v>&gt;= 0.10 e &lt; 0.20</c:v>
                </c:pt>
                <c:pt idx="2">
                  <c:v>&gt;= 0.20 e &lt; 0.30</c:v>
                </c:pt>
                <c:pt idx="3">
                  <c:v>&gt;= 0.30 e &lt; 0.40</c:v>
                </c:pt>
                <c:pt idx="4">
                  <c:v>&gt;= 0.40 e &lt; 0.50</c:v>
                </c:pt>
                <c:pt idx="5">
                  <c:v>&gt;= 0.50 e &lt; 0.60</c:v>
                </c:pt>
                <c:pt idx="6">
                  <c:v>&gt;= 0.60 e &lt; 0.70</c:v>
                </c:pt>
                <c:pt idx="7">
                  <c:v>&gt;= 0.70 e &lt; 0.80</c:v>
                </c:pt>
                <c:pt idx="8">
                  <c:v>&gt;= 0.80 e &lt; 0.90</c:v>
                </c:pt>
                <c:pt idx="9">
                  <c:v>&gt;= 0.90 e &lt; 1.00</c:v>
                </c:pt>
                <c:pt idx="10">
                  <c:v>&gt;= 1.00 e &lt;1.10</c:v>
                </c:pt>
                <c:pt idx="11">
                  <c:v>&gt;= 1.10 e &lt; 1.20</c:v>
                </c:pt>
                <c:pt idx="12">
                  <c:v>&gt;= 1.20 e &lt; 1.30</c:v>
                </c:pt>
                <c:pt idx="13">
                  <c:v>&gt;= 1.30 e &lt; 1.40</c:v>
                </c:pt>
                <c:pt idx="14">
                  <c:v>&gt;= 1.40 e &lt; 1.50</c:v>
                </c:pt>
                <c:pt idx="15">
                  <c:v>&gt;= 1.50</c:v>
                </c:pt>
              </c:strCache>
            </c:strRef>
          </c:cat>
          <c:val>
            <c:numRef>
              <c:f>'Fig 6.15'!$C$6:$C$21</c:f>
              <c:numCache>
                <c:formatCode>0.0%</c:formatCode>
                <c:ptCount val="16"/>
                <c:pt idx="0">
                  <c:v>4.154178725346E-2</c:v>
                </c:pt>
                <c:pt idx="1">
                  <c:v>0.25736991653688368</c:v>
                </c:pt>
                <c:pt idx="2">
                  <c:v>0.2149045314942547</c:v>
                </c:pt>
                <c:pt idx="3">
                  <c:v>0.14308111946101379</c:v>
                </c:pt>
                <c:pt idx="4">
                  <c:v>8.1210891897910933E-2</c:v>
                </c:pt>
                <c:pt idx="5">
                  <c:v>5.433631503443858E-2</c:v>
                </c:pt>
                <c:pt idx="6">
                  <c:v>3.8981914418389413E-2</c:v>
                </c:pt>
                <c:pt idx="7">
                  <c:v>2.9995241141471982E-2</c:v>
                </c:pt>
                <c:pt idx="8">
                  <c:v>2.5825424740982292E-2</c:v>
                </c:pt>
                <c:pt idx="9">
                  <c:v>1.8103391824789254E-2</c:v>
                </c:pt>
                <c:pt idx="10">
                  <c:v>1.7339471818138059E-2</c:v>
                </c:pt>
                <c:pt idx="11">
                  <c:v>1.3119180349376524E-2</c:v>
                </c:pt>
                <c:pt idx="12">
                  <c:v>1.0601414852628539E-2</c:v>
                </c:pt>
                <c:pt idx="13">
                  <c:v>7.9623556556987739E-3</c:v>
                </c:pt>
                <c:pt idx="14">
                  <c:v>7.4219461604901433E-3</c:v>
                </c:pt>
                <c:pt idx="15">
                  <c:v>3.8205097360073326E-2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0A-45FC-9FD8-DC9ADA117FCD}"/>
            </c:ext>
          </c:extLst>
        </c:ser>
        <c:ser>
          <c:idx val="2"/>
          <c:order val="3"/>
          <c:tx>
            <c:strRef>
              <c:f>'Fig 6.15'!$E$5</c:f>
              <c:strCache>
                <c:ptCount val="1"/>
                <c:pt idx="0">
                  <c:v>2009 (Rotas monitoradas desde o início da série histórica)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2.8675020693061729E-2"/>
                  <c:y val="4.2929089443996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0A-45FC-9FD8-DC9ADA117FCD}"/>
                </c:ext>
              </c:extLst>
            </c:dLbl>
            <c:dLbl>
              <c:idx val="3"/>
              <c:layout>
                <c:manualLayout>
                  <c:x val="-3.014330093195711E-2"/>
                  <c:y val="3.9506222580356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0A-45FC-9FD8-DC9ADA117FCD}"/>
                </c:ext>
              </c:extLst>
            </c:dLbl>
            <c:dLbl>
              <c:idx val="4"/>
              <c:layout>
                <c:manualLayout>
                  <c:x val="-2.9071128109186772E-2"/>
                  <c:y val="-3.7246396275405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0A-45FC-9FD8-DC9ADA117FCD}"/>
                </c:ext>
              </c:extLst>
            </c:dLbl>
            <c:dLbl>
              <c:idx val="12"/>
              <c:layout>
                <c:manualLayout>
                  <c:x val="-3.6081464971644786E-2"/>
                  <c:y val="-3.1920989201576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0A-45FC-9FD8-DC9ADA117FCD}"/>
                </c:ext>
              </c:extLst>
            </c:dLbl>
            <c:dLbl>
              <c:idx val="13"/>
              <c:layout>
                <c:manualLayout>
                  <c:x val="-3.6081464971644786E-2"/>
                  <c:y val="-2.9045877055224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0A-45FC-9FD8-DC9ADA117FCD}"/>
                </c:ext>
              </c:extLst>
            </c:dLbl>
            <c:dLbl>
              <c:idx val="14"/>
              <c:layout>
                <c:manualLayout>
                  <c:x val="-3.6081464971644786E-2"/>
                  <c:y val="-2.6170764908871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0A-45FC-9FD8-DC9ADA117FC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6.15'!$A$6:$A$21</c:f>
              <c:strCache>
                <c:ptCount val="16"/>
                <c:pt idx="0">
                  <c:v>&gt; 0.00 e &lt; 0.10</c:v>
                </c:pt>
                <c:pt idx="1">
                  <c:v>&gt;= 0.10 e &lt; 0.20</c:v>
                </c:pt>
                <c:pt idx="2">
                  <c:v>&gt;= 0.20 e &lt; 0.30</c:v>
                </c:pt>
                <c:pt idx="3">
                  <c:v>&gt;= 0.30 e &lt; 0.40</c:v>
                </c:pt>
                <c:pt idx="4">
                  <c:v>&gt;= 0.40 e &lt; 0.50</c:v>
                </c:pt>
                <c:pt idx="5">
                  <c:v>&gt;= 0.50 e &lt; 0.60</c:v>
                </c:pt>
                <c:pt idx="6">
                  <c:v>&gt;= 0.60 e &lt; 0.70</c:v>
                </c:pt>
                <c:pt idx="7">
                  <c:v>&gt;= 0.70 e &lt; 0.80</c:v>
                </c:pt>
                <c:pt idx="8">
                  <c:v>&gt;= 0.80 e &lt; 0.90</c:v>
                </c:pt>
                <c:pt idx="9">
                  <c:v>&gt;= 0.90 e &lt; 1.00</c:v>
                </c:pt>
                <c:pt idx="10">
                  <c:v>&gt;= 1.00 e &lt;1.10</c:v>
                </c:pt>
                <c:pt idx="11">
                  <c:v>&gt;= 1.10 e &lt; 1.20</c:v>
                </c:pt>
                <c:pt idx="12">
                  <c:v>&gt;= 1.20 e &lt; 1.30</c:v>
                </c:pt>
                <c:pt idx="13">
                  <c:v>&gt;= 1.30 e &lt; 1.40</c:v>
                </c:pt>
                <c:pt idx="14">
                  <c:v>&gt;= 1.40 e &lt; 1.50</c:v>
                </c:pt>
                <c:pt idx="15">
                  <c:v>&gt;= 1.50</c:v>
                </c:pt>
              </c:strCache>
            </c:strRef>
          </c:cat>
          <c:val>
            <c:numRef>
              <c:f>'Fig 6.15'!$E$6:$E$21</c:f>
              <c:numCache>
                <c:formatCode>0.0%</c:formatCode>
                <c:ptCount val="16"/>
                <c:pt idx="0">
                  <c:v>1.0665384064601755E-3</c:v>
                </c:pt>
                <c:pt idx="1">
                  <c:v>4.1023998991345366E-2</c:v>
                </c:pt>
                <c:pt idx="2">
                  <c:v>0.10093799352568156</c:v>
                </c:pt>
                <c:pt idx="3">
                  <c:v>0.13457811910087317</c:v>
                </c:pt>
                <c:pt idx="4">
                  <c:v>9.8129784822957547E-2</c:v>
                </c:pt>
                <c:pt idx="5">
                  <c:v>7.708076172403204E-2</c:v>
                </c:pt>
                <c:pt idx="6">
                  <c:v>6.5914515942110785E-2</c:v>
                </c:pt>
                <c:pt idx="7">
                  <c:v>7.7809404128445531E-2</c:v>
                </c:pt>
                <c:pt idx="8">
                  <c:v>5.0677015278386493E-2</c:v>
                </c:pt>
                <c:pt idx="9">
                  <c:v>5.4247655985728657E-2</c:v>
                </c:pt>
                <c:pt idx="10">
                  <c:v>4.4034326438150778E-2</c:v>
                </c:pt>
                <c:pt idx="11">
                  <c:v>2.8226734570973362E-2</c:v>
                </c:pt>
                <c:pt idx="12">
                  <c:v>2.4087900488760996E-2</c:v>
                </c:pt>
                <c:pt idx="13">
                  <c:v>2.5394926782392128E-2</c:v>
                </c:pt>
                <c:pt idx="14">
                  <c:v>1.7563908449244246E-2</c:v>
                </c:pt>
                <c:pt idx="15">
                  <c:v>0.15922641536445714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0A-45FC-9FD8-DC9ADA117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715424"/>
        <c:axId val="404722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'Fig 6.15'!$D$5</c15:sqref>
                        </c15:formulaRef>
                      </c:ext>
                    </c:extLst>
                    <c:strCache>
                      <c:ptCount val="1"/>
                      <c:pt idx="0">
                        <c:v>2017 (Todas as Rotas)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'Fig 6.15'!$A$6:$A$21</c15:sqref>
                        </c15:formulaRef>
                      </c:ext>
                    </c:extLst>
                    <c:strCache>
                      <c:ptCount val="16"/>
                      <c:pt idx="0">
                        <c:v>&gt; 0.00 e &lt; 0.10</c:v>
                      </c:pt>
                      <c:pt idx="1">
                        <c:v>&gt;= 0.10 e &lt; 0.20</c:v>
                      </c:pt>
                      <c:pt idx="2">
                        <c:v>&gt;= 0.20 e &lt; 0.30</c:v>
                      </c:pt>
                      <c:pt idx="3">
                        <c:v>&gt;= 0.30 e &lt; 0.40</c:v>
                      </c:pt>
                      <c:pt idx="4">
                        <c:v>&gt;= 0.40 e &lt; 0.50</c:v>
                      </c:pt>
                      <c:pt idx="5">
                        <c:v>&gt;= 0.50 e &lt; 0.60</c:v>
                      </c:pt>
                      <c:pt idx="6">
                        <c:v>&gt;= 0.60 e &lt; 0.70</c:v>
                      </c:pt>
                      <c:pt idx="7">
                        <c:v>&gt;= 0.70 e &lt; 0.80</c:v>
                      </c:pt>
                      <c:pt idx="8">
                        <c:v>&gt;= 0.80 e &lt; 0.90</c:v>
                      </c:pt>
                      <c:pt idx="9">
                        <c:v>&gt;= 0.90 e &lt; 1.00</c:v>
                      </c:pt>
                      <c:pt idx="10">
                        <c:v>&gt;= 1.00 e &lt;1.10</c:v>
                      </c:pt>
                      <c:pt idx="11">
                        <c:v>&gt;= 1.10 e &lt; 1.20</c:v>
                      </c:pt>
                      <c:pt idx="12">
                        <c:v>&gt;= 1.20 e &lt; 1.30</c:v>
                      </c:pt>
                      <c:pt idx="13">
                        <c:v>&gt;= 1.30 e &lt; 1.40</c:v>
                      </c:pt>
                      <c:pt idx="14">
                        <c:v>&gt;= 1.40 e &lt; 1.50</c:v>
                      </c:pt>
                      <c:pt idx="15">
                        <c:v>&gt;= 1.50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6.15'!$D$6:$D$21</c15:sqref>
                        </c15:formulaRef>
                      </c:ext>
                    </c:extLst>
                    <c:numCache>
                      <c:formatCode>0.0%</c:formatCode>
                      <c:ptCount val="16"/>
                      <c:pt idx="0">
                        <c:v>3.4715584643772703E-2</c:v>
                      </c:pt>
                      <c:pt idx="1">
                        <c:v>0.26739714035682671</c:v>
                      </c:pt>
                      <c:pt idx="2">
                        <c:v>0.23722937378594985</c:v>
                      </c:pt>
                      <c:pt idx="3">
                        <c:v>0.14802107383755428</c:v>
                      </c:pt>
                      <c:pt idx="4">
                        <c:v>8.2685992955712384E-2</c:v>
                      </c:pt>
                      <c:pt idx="5">
                        <c:v>5.5034017523991695E-2</c:v>
                      </c:pt>
                      <c:pt idx="6">
                        <c:v>3.7497830199979584E-2</c:v>
                      </c:pt>
                      <c:pt idx="7">
                        <c:v>2.7810764313560631E-2</c:v>
                      </c:pt>
                      <c:pt idx="8">
                        <c:v>2.1803518895088039E-2</c:v>
                      </c:pt>
                      <c:pt idx="9">
                        <c:v>1.6613393458079127E-2</c:v>
                      </c:pt>
                      <c:pt idx="10">
                        <c:v>1.2977078919315823E-2</c:v>
                      </c:pt>
                      <c:pt idx="11">
                        <c:v>1.2008865070240477E-2</c:v>
                      </c:pt>
                      <c:pt idx="12">
                        <c:v>8.424191189987263E-3</c:v>
                      </c:pt>
                      <c:pt idx="13">
                        <c:v>6.9574956124839465E-3</c:v>
                      </c:pt>
                      <c:pt idx="14">
                        <c:v>5.3016449457323027E-3</c:v>
                      </c:pt>
                      <c:pt idx="15">
                        <c:v>2.5522034291725153E-2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40A-45FC-9FD8-DC9ADA117FCD}"/>
                  </c:ext>
                </c:extLst>
              </c15:ser>
            </c15:filteredLineSeries>
          </c:ext>
        </c:extLst>
      </c:lineChart>
      <c:catAx>
        <c:axId val="4047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pt-BR"/>
          </a:p>
        </c:txPr>
        <c:crossAx val="404722872"/>
        <c:crosses val="autoZero"/>
        <c:auto val="1"/>
        <c:lblAlgn val="ctr"/>
        <c:lblOffset val="100"/>
        <c:noMultiLvlLbl val="0"/>
      </c:catAx>
      <c:valAx>
        <c:axId val="40472287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471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6145212511418"/>
          <c:y val="2.0591732827925698E-2"/>
          <c:w val="0.66983776544506524"/>
          <c:h val="0.9515422957451421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2.9'!$A$6:$A$25</c:f>
              <c:strCache>
                <c:ptCount val="20"/>
                <c:pt idx="0">
                  <c:v> São Paulo - Guarulhos </c:v>
                </c:pt>
                <c:pt idx="1">
                  <c:v> São Paulo - Congonhas </c:v>
                </c:pt>
                <c:pt idx="2">
                  <c:v> Brasília </c:v>
                </c:pt>
                <c:pt idx="3">
                  <c:v> Belo Horizonte - Confins </c:v>
                </c:pt>
                <c:pt idx="4">
                  <c:v> Campinas </c:v>
                </c:pt>
                <c:pt idx="5">
                  <c:v> Rio De Janeiro - Santos Dumont </c:v>
                </c:pt>
                <c:pt idx="6">
                  <c:v> Rio De Janeiro - Galeão </c:v>
                </c:pt>
                <c:pt idx="7">
                  <c:v> Recife </c:v>
                </c:pt>
                <c:pt idx="8">
                  <c:v> Porto Alegre </c:v>
                </c:pt>
                <c:pt idx="9">
                  <c:v> Salvador </c:v>
                </c:pt>
                <c:pt idx="10">
                  <c:v> Curitiba </c:v>
                </c:pt>
                <c:pt idx="11">
                  <c:v> Fortaleza </c:v>
                </c:pt>
                <c:pt idx="12">
                  <c:v> Goiânia </c:v>
                </c:pt>
                <c:pt idx="13">
                  <c:v> Florianópolis </c:v>
                </c:pt>
                <c:pt idx="14">
                  <c:v> Cuiabá </c:v>
                </c:pt>
                <c:pt idx="15">
                  <c:v> Belém </c:v>
                </c:pt>
                <c:pt idx="16">
                  <c:v> Vitória </c:v>
                </c:pt>
                <c:pt idx="17">
                  <c:v> Manaus </c:v>
                </c:pt>
                <c:pt idx="18">
                  <c:v> Natal </c:v>
                </c:pt>
                <c:pt idx="19">
                  <c:v> Foz Do Iguaçu </c:v>
                </c:pt>
              </c:strCache>
            </c:strRef>
          </c:cat>
          <c:val>
            <c:numRef>
              <c:f>'Fig 2.9'!$B$6:$B$25</c:f>
              <c:numCache>
                <c:formatCode>0.0%</c:formatCode>
                <c:ptCount val="20"/>
                <c:pt idx="0">
                  <c:v>0.12228906359163683</c:v>
                </c:pt>
                <c:pt idx="1">
                  <c:v>0.10793614606391767</c:v>
                </c:pt>
                <c:pt idx="2">
                  <c:v>8.0123844473697761E-2</c:v>
                </c:pt>
                <c:pt idx="3">
                  <c:v>5.8147088600768268E-2</c:v>
                </c:pt>
                <c:pt idx="4">
                  <c:v>5.7600427523282122E-2</c:v>
                </c:pt>
                <c:pt idx="5">
                  <c:v>5.3646327442631231E-2</c:v>
                </c:pt>
                <c:pt idx="6">
                  <c:v>4.7325405522012302E-2</c:v>
                </c:pt>
                <c:pt idx="7">
                  <c:v>3.9800848672937338E-2</c:v>
                </c:pt>
                <c:pt idx="8">
                  <c:v>3.8522446198008979E-2</c:v>
                </c:pt>
                <c:pt idx="9">
                  <c:v>3.5651862692465147E-2</c:v>
                </c:pt>
                <c:pt idx="10">
                  <c:v>3.4938506757270227E-2</c:v>
                </c:pt>
                <c:pt idx="11">
                  <c:v>2.6565767249853531E-2</c:v>
                </c:pt>
                <c:pt idx="12">
                  <c:v>1.8712723475293618E-2</c:v>
                </c:pt>
                <c:pt idx="13">
                  <c:v>1.8185673557537918E-2</c:v>
                </c:pt>
                <c:pt idx="14">
                  <c:v>1.7050677688138435E-2</c:v>
                </c:pt>
                <c:pt idx="15">
                  <c:v>1.6632714846383335E-2</c:v>
                </c:pt>
                <c:pt idx="16">
                  <c:v>1.6251522929122818E-2</c:v>
                </c:pt>
                <c:pt idx="17">
                  <c:v>1.473165805001336E-2</c:v>
                </c:pt>
                <c:pt idx="18">
                  <c:v>1.0396366052101948E-2</c:v>
                </c:pt>
                <c:pt idx="19">
                  <c:v>9.8497049746158055E-3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D1A-81A1-028C5530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593808"/>
        <c:axId val="132587536"/>
      </c:barChart>
      <c:valAx>
        <c:axId val="132587536"/>
        <c:scaling>
          <c:orientation val="minMax"/>
        </c:scaling>
        <c:delete val="1"/>
        <c:axPos val="t"/>
        <c:numFmt formatCode="0%" sourceLinked="0"/>
        <c:majorTickMark val="out"/>
        <c:minorTickMark val="none"/>
        <c:tickLblPos val="nextTo"/>
        <c:crossAx val="132593808"/>
        <c:crosses val="autoZero"/>
        <c:crossBetween val="between"/>
      </c:valAx>
      <c:catAx>
        <c:axId val="1325938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25875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6.16'!$A$6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6.16'!$B$5:$E$5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6.16'!$B$6:$E$6</c:f>
              <c:numCache>
                <c:formatCode>"R$ "#,##0.00</c:formatCode>
                <c:ptCount val="4"/>
                <c:pt idx="0">
                  <c:v>353.77225575326054</c:v>
                </c:pt>
                <c:pt idx="1">
                  <c:v>338.10506631056847</c:v>
                </c:pt>
                <c:pt idx="2">
                  <c:v>373.4925023666641</c:v>
                </c:pt>
                <c:pt idx="3">
                  <c:v>437.15150369170925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B-4ABE-9631-9A2DAF9298B4}"/>
            </c:ext>
          </c:extLst>
        </c:ser>
        <c:ser>
          <c:idx val="1"/>
          <c:order val="1"/>
          <c:tx>
            <c:strRef>
              <c:f>'Fig 6.16'!$A$7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6.16'!$B$5:$E$5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6.16'!$B$7:$E$7</c:f>
              <c:numCache>
                <c:formatCode>"R$ "#,##0.00</c:formatCode>
                <c:ptCount val="4"/>
                <c:pt idx="0">
                  <c:v>328.01651803314337</c:v>
                </c:pt>
                <c:pt idx="1">
                  <c:v>360.34762798419263</c:v>
                </c:pt>
                <c:pt idx="2">
                  <c:v>372.2161969733221</c:v>
                </c:pt>
                <c:pt idx="3">
                  <c:v>427.66529632520667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B-4ABE-9631-9A2DAF9298B4}"/>
            </c:ext>
          </c:extLst>
        </c:ser>
        <c:ser>
          <c:idx val="2"/>
          <c:order val="2"/>
          <c:tx>
            <c:strRef>
              <c:f>'Fig 6.16'!$A$8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6.16'!$B$5:$E$5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6.16'!$B$8:$E$8</c:f>
              <c:numCache>
                <c:formatCode>"R$ "#,##0.00</c:formatCode>
                <c:ptCount val="4"/>
                <c:pt idx="0">
                  <c:v>325.52267093363605</c:v>
                </c:pt>
                <c:pt idx="1">
                  <c:v>347.56128546732123</c:v>
                </c:pt>
                <c:pt idx="2">
                  <c:v>387.88177721914576</c:v>
                </c:pt>
                <c:pt idx="3">
                  <c:v>457.61461413128478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B-4ABE-9631-9A2DAF929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4722088"/>
        <c:axId val="404726792"/>
      </c:barChart>
      <c:catAx>
        <c:axId val="40472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26792"/>
        <c:crosses val="autoZero"/>
        <c:auto val="1"/>
        <c:lblAlgn val="ctr"/>
        <c:lblOffset val="100"/>
        <c:noMultiLvlLbl val="0"/>
      </c:catAx>
      <c:valAx>
        <c:axId val="404726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220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6.17'!$B$5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6.17'!$A$6:$A$8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6.17'!$B$6:$B$8</c:f>
              <c:numCache>
                <c:formatCode>0.0%</c:formatCode>
                <c:ptCount val="3"/>
                <c:pt idx="0">
                  <c:v>3.9201757777514161E-2</c:v>
                </c:pt>
                <c:pt idx="1">
                  <c:v>6.5785946115321181E-2</c:v>
                </c:pt>
                <c:pt idx="2">
                  <c:v>-3.5483354194390034E-2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8-4776-A175-674C74BFA649}"/>
            </c:ext>
          </c:extLst>
        </c:ser>
        <c:ser>
          <c:idx val="1"/>
          <c:order val="1"/>
          <c:tx>
            <c:strRef>
              <c:f>'Fig 6.17'!$C$5</c:f>
              <c:strCache>
                <c:ptCount val="1"/>
                <c:pt idx="0">
                  <c:v>Latam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6.17'!$A$6:$A$8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6.17'!$C$6:$C$8</c:f>
              <c:numCache>
                <c:formatCode>0.0%</c:formatCode>
                <c:ptCount val="3"/>
                <c:pt idx="0">
                  <c:v>-7.3367640240184204E-2</c:v>
                </c:pt>
                <c:pt idx="1">
                  <c:v>-7.2803158815485464E-2</c:v>
                </c:pt>
                <c:pt idx="2">
                  <c:v>-7.6028095001463847E-3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8-4776-A175-674C74BFA649}"/>
            </c:ext>
          </c:extLst>
        </c:ser>
        <c:ser>
          <c:idx val="2"/>
          <c:order val="2"/>
          <c:tx>
            <c:strRef>
              <c:f>'Fig 6.17'!$D$5</c:f>
              <c:strCache>
                <c:ptCount val="1"/>
                <c:pt idx="0">
                  <c:v>Azul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6.17'!$A$6:$A$8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6.17'!$D$6:$D$8</c:f>
              <c:numCache>
                <c:formatCode>0.0%</c:formatCode>
                <c:ptCount val="3"/>
                <c:pt idx="0">
                  <c:v>4.8395579649362364E-3</c:v>
                </c:pt>
                <c:pt idx="1">
                  <c:v>-2.170004514771727E-2</c:v>
                </c:pt>
                <c:pt idx="2">
                  <c:v>7.0029806167166656E-2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8-4776-A175-674C74BFA649}"/>
            </c:ext>
          </c:extLst>
        </c:ser>
        <c:ser>
          <c:idx val="3"/>
          <c:order val="3"/>
          <c:tx>
            <c:strRef>
              <c:f>'Fig 6.17'!$E$5</c:f>
              <c:strCache>
                <c:ptCount val="1"/>
                <c:pt idx="0">
                  <c:v>Avianca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6.17'!$A$6:$A$8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6.17'!$E$6:$E$8</c:f>
              <c:numCache>
                <c:formatCode>0.0%</c:formatCode>
                <c:ptCount val="3"/>
                <c:pt idx="0">
                  <c:v>-0.10535648581648641</c:v>
                </c:pt>
                <c:pt idx="1">
                  <c:v>-3.417218244689229E-3</c:v>
                </c:pt>
                <c:pt idx="2">
                  <c:v>4.2087314773533252E-2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8-4776-A175-674C74BFA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4727184"/>
        <c:axId val="404728360"/>
      </c:barChart>
      <c:catAx>
        <c:axId val="40472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4728360"/>
        <c:crosses val="autoZero"/>
        <c:auto val="1"/>
        <c:lblAlgn val="ctr"/>
        <c:lblOffset val="100"/>
        <c:noMultiLvlLbl val="0"/>
      </c:catAx>
      <c:valAx>
        <c:axId val="40472836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27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6.18'!$A$6:$B$6</c:f>
              <c:strCache>
                <c:ptCount val="2"/>
                <c:pt idx="0">
                  <c:v>2016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6.18'!$C$6:$F$6</c:f>
              <c:numCache>
                <c:formatCode>_("R$ "* #,##0_);_("R$ "* \(#,##0\);_("R$ "* "-"??_);_(@_)</c:formatCode>
                <c:ptCount val="4"/>
                <c:pt idx="0">
                  <c:v>332.33698281557133</c:v>
                </c:pt>
                <c:pt idx="1">
                  <c:v>334.99383030489531</c:v>
                </c:pt>
                <c:pt idx="2">
                  <c:v>378.9831330695074</c:v>
                </c:pt>
                <c:pt idx="3">
                  <c:v>430.9688636595377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0D-933D-DD5FEE3A0D00}"/>
            </c:ext>
          </c:extLst>
        </c:ser>
        <c:ser>
          <c:idx val="1"/>
          <c:order val="1"/>
          <c:tx>
            <c:strRef>
              <c:f>'Fig 6.18'!$A$7:$B$7</c:f>
              <c:strCache>
                <c:ptCount val="2"/>
                <c:pt idx="0">
                  <c:v>2016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6.18'!$C$7:$F$7</c:f>
              <c:numCache>
                <c:formatCode>_("R$ "* #,##0_);_("R$ "* \(#,##0\);_("R$ "* "-"??_);_(@_)</c:formatCode>
                <c:ptCount val="4"/>
                <c:pt idx="0">
                  <c:v>321.80185523352679</c:v>
                </c:pt>
                <c:pt idx="1">
                  <c:v>295.72574374597735</c:v>
                </c:pt>
                <c:pt idx="2">
                  <c:v>334.52044109818792</c:v>
                </c:pt>
                <c:pt idx="3">
                  <c:v>432.47969875586415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0D-933D-DD5FEE3A0D00}"/>
            </c:ext>
          </c:extLst>
        </c:ser>
        <c:ser>
          <c:idx val="2"/>
          <c:order val="2"/>
          <c:tx>
            <c:strRef>
              <c:f>'Fig 6.18'!$A$8:$B$8</c:f>
              <c:strCache>
                <c:ptCount val="2"/>
                <c:pt idx="0">
                  <c:v>2016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6.18'!$C$8:$F$8</c:f>
              <c:numCache>
                <c:formatCode>_("R$ "* #,##0_);_("R$ "* \(#,##0\);_("R$ "* "-"??_);_(@_)</c:formatCode>
                <c:ptCount val="4"/>
                <c:pt idx="0">
                  <c:v>373.05040781299277</c:v>
                </c:pt>
                <c:pt idx="1">
                  <c:v>338.27884284209688</c:v>
                </c:pt>
                <c:pt idx="2">
                  <c:v>367.02745188655553</c:v>
                </c:pt>
                <c:pt idx="3">
                  <c:v>447.9217271180126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9-440D-933D-DD5FEE3A0D00}"/>
            </c:ext>
          </c:extLst>
        </c:ser>
        <c:ser>
          <c:idx val="3"/>
          <c:order val="3"/>
          <c:tx>
            <c:strRef>
              <c:f>'Fig 6.18'!$A$9:$B$9</c:f>
              <c:strCache>
                <c:ptCount val="2"/>
                <c:pt idx="0">
                  <c:v>2016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6.18'!$C$9:$F$9</c:f>
              <c:numCache>
                <c:formatCode>_("R$ "* #,##0_);_("R$ "* \(#,##0\);_("R$ "* "-"??_);_(@_)</c:formatCode>
                <c:ptCount val="4"/>
                <c:pt idx="0">
                  <c:v>402.29284653164757</c:v>
                </c:pt>
                <c:pt idx="1">
                  <c:v>400.35707196463767</c:v>
                </c:pt>
                <c:pt idx="2">
                  <c:v>410.23343990163255</c:v>
                </c:pt>
                <c:pt idx="3">
                  <c:v>437.49875161581775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9-440D-933D-DD5FEE3A0D00}"/>
            </c:ext>
          </c:extLst>
        </c:ser>
        <c:ser>
          <c:idx val="4"/>
          <c:order val="4"/>
          <c:tx>
            <c:strRef>
              <c:f>'Fig 6.18'!$A$10:$B$10</c:f>
              <c:strCache>
                <c:ptCount val="2"/>
                <c:pt idx="0">
                  <c:v>2017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6.18'!$C$10:$F$10</c:f>
              <c:numCache>
                <c:formatCode>_("R$ "* #,##0_);_("R$ "* \(#,##0\);_("R$ "* "-"??_);_(@_)</c:formatCode>
                <c:ptCount val="4"/>
                <c:pt idx="0">
                  <c:v>298.1177036516325</c:v>
                </c:pt>
                <c:pt idx="1">
                  <c:v>337.67210076407713</c:v>
                </c:pt>
                <c:pt idx="2">
                  <c:v>353.29972106910594</c:v>
                </c:pt>
                <c:pt idx="3">
                  <c:v>393.2715450219286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9-4F73-8B1E-F4FCBDC69A91}"/>
            </c:ext>
          </c:extLst>
        </c:ser>
        <c:ser>
          <c:idx val="5"/>
          <c:order val="5"/>
          <c:tx>
            <c:strRef>
              <c:f>'Fig 6.18'!$A$11:$B$11</c:f>
              <c:strCache>
                <c:ptCount val="2"/>
                <c:pt idx="0">
                  <c:v>2017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6.18'!$C$11:$F$11</c:f>
              <c:numCache>
                <c:formatCode>_("R$ "* #,##0_);_("R$ "* \(#,##0\);_("R$ "* "-"??_);_(@_)</c:formatCode>
                <c:ptCount val="4"/>
                <c:pt idx="0">
                  <c:v>294.22454305829683</c:v>
                </c:pt>
                <c:pt idx="1">
                  <c:v>331.01029534205173</c:v>
                </c:pt>
                <c:pt idx="2">
                  <c:v>342.02719010075867</c:v>
                </c:pt>
                <c:pt idx="3">
                  <c:v>394.38788748555089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F73-8B1E-F4FCBDC69A91}"/>
            </c:ext>
          </c:extLst>
        </c:ser>
        <c:ser>
          <c:idx val="6"/>
          <c:order val="6"/>
          <c:tx>
            <c:strRef>
              <c:f>'Fig 6.18'!$A$12:$B$12</c:f>
              <c:strCache>
                <c:ptCount val="2"/>
                <c:pt idx="0">
                  <c:v>2017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6.18'!$C$12:$F$12</c:f>
              <c:numCache>
                <c:formatCode>_("R$ "* #,##0_);_("R$ "* \(#,##0\);_("R$ "* "-"??_);_(@_)</c:formatCode>
                <c:ptCount val="4"/>
                <c:pt idx="0">
                  <c:v>345.71116095840824</c:v>
                </c:pt>
                <c:pt idx="1">
                  <c:v>369.31158903177209</c:v>
                </c:pt>
                <c:pt idx="2">
                  <c:v>363.31653781765647</c:v>
                </c:pt>
                <c:pt idx="3">
                  <c:v>439.64860263249744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F73-8B1E-F4FCBDC69A91}"/>
            </c:ext>
          </c:extLst>
        </c:ser>
        <c:ser>
          <c:idx val="7"/>
          <c:order val="7"/>
          <c:tx>
            <c:strRef>
              <c:f>'Fig 6.18'!$A$13:$B$13</c:f>
              <c:strCache>
                <c:ptCount val="2"/>
                <c:pt idx="0">
                  <c:v>2017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6.18'!$C$13:$F$13</c:f>
              <c:numCache>
                <c:formatCode>_("R$ "* #,##0_);_("R$ "* \(#,##0\);_("R$ "* "-"??_);_(@_)</c:formatCode>
                <c:ptCount val="4"/>
                <c:pt idx="0">
                  <c:v>374.69967876278156</c:v>
                </c:pt>
                <c:pt idx="1">
                  <c:v>396.20331253718831</c:v>
                </c:pt>
                <c:pt idx="2">
                  <c:v>434.29124695908178</c:v>
                </c:pt>
                <c:pt idx="3">
                  <c:v>488.50757140692804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9-4F73-8B1E-F4FCBDC69A91}"/>
            </c:ext>
          </c:extLst>
        </c:ser>
        <c:ser>
          <c:idx val="8"/>
          <c:order val="8"/>
          <c:tx>
            <c:strRef>
              <c:f>'Fig 6.18'!$A$14:$B$14</c:f>
              <c:strCache>
                <c:ptCount val="2"/>
                <c:pt idx="0">
                  <c:v>2018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6.18'!$C$14:$F$14</c:f>
              <c:numCache>
                <c:formatCode>_("R$ "* #,##0_);_("R$ "* \(#,##0\);_("R$ "* "-"??_);_(@_)</c:formatCode>
                <c:ptCount val="4"/>
                <c:pt idx="0">
                  <c:v>314.16211390543657</c:v>
                </c:pt>
                <c:pt idx="1">
                  <c:v>357.31181003682934</c:v>
                </c:pt>
                <c:pt idx="2">
                  <c:v>378.75311443928183</c:v>
                </c:pt>
                <c:pt idx="3">
                  <c:v>445.58500566684495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39-4F73-8B1E-F4FCBDC69A91}"/>
            </c:ext>
          </c:extLst>
        </c:ser>
        <c:ser>
          <c:idx val="9"/>
          <c:order val="9"/>
          <c:tx>
            <c:strRef>
              <c:f>'Fig 6.18'!$A$15:$B$15</c:f>
              <c:strCache>
                <c:ptCount val="2"/>
                <c:pt idx="0">
                  <c:v>2018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6.18'!$C$15:$F$15</c:f>
              <c:numCache>
                <c:formatCode>_("R$ "* #,##0_);_("R$ "* \(#,##0\);_("R$ "* "-"??_);_(@_)</c:formatCode>
                <c:ptCount val="4"/>
                <c:pt idx="0">
                  <c:v>282.24635973898916</c:v>
                </c:pt>
                <c:pt idx="1">
                  <c:v>300.21346236701334</c:v>
                </c:pt>
                <c:pt idx="2">
                  <c:v>323.82326581078189</c:v>
                </c:pt>
                <c:pt idx="3">
                  <c:v>410.02579916631692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39-4F73-8B1E-F4FCBDC69A91}"/>
            </c:ext>
          </c:extLst>
        </c:ser>
        <c:ser>
          <c:idx val="10"/>
          <c:order val="10"/>
          <c:tx>
            <c:strRef>
              <c:f>'Fig 6.18'!$A$16:$B$16</c:f>
              <c:strCache>
                <c:ptCount val="2"/>
                <c:pt idx="0">
                  <c:v>2018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6.18'!$C$16:$F$16</c:f>
              <c:numCache>
                <c:formatCode>_("R$ "* #,##0_);_("R$ "* \(#,##0\);_("R$ "* "-"??_);_(@_)</c:formatCode>
                <c:ptCount val="4"/>
                <c:pt idx="0">
                  <c:v>318.07784793721777</c:v>
                </c:pt>
                <c:pt idx="1">
                  <c:v>354.59229392752866</c:v>
                </c:pt>
                <c:pt idx="2">
                  <c:v>423.2514788847572</c:v>
                </c:pt>
                <c:pt idx="3">
                  <c:v>473.25499831641162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9-4F73-8B1E-F4FCBDC69A91}"/>
            </c:ext>
          </c:extLst>
        </c:ser>
        <c:ser>
          <c:idx val="11"/>
          <c:order val="11"/>
          <c:tx>
            <c:strRef>
              <c:f>'Fig 6.18'!$A$17:$B$17</c:f>
              <c:strCache>
                <c:ptCount val="2"/>
                <c:pt idx="0">
                  <c:v>2018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6.18'!$C$5:$F$5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6.18'!$C$17:$F$17</c:f>
              <c:numCache>
                <c:formatCode>_("R$ "* #,##0_);_("R$ "* \(#,##0\);_("R$ "* "-"??_);_(@_)</c:formatCode>
                <c:ptCount val="4"/>
                <c:pt idx="0">
                  <c:v>390.93082017185736</c:v>
                </c:pt>
                <c:pt idx="1">
                  <c:v>387.9274314561614</c:v>
                </c:pt>
                <c:pt idx="2">
                  <c:v>466.00388392914863</c:v>
                </c:pt>
                <c:pt idx="3">
                  <c:v>505.54195218300447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39-4F73-8B1E-F4FCBDC6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4726008"/>
        <c:axId val="404724440"/>
      </c:barChart>
      <c:catAx>
        <c:axId val="40472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4440"/>
        <c:crosses val="autoZero"/>
        <c:auto val="1"/>
        <c:lblAlgn val="ctr"/>
        <c:lblOffset val="100"/>
        <c:noMultiLvlLbl val="0"/>
      </c:catAx>
      <c:valAx>
        <c:axId val="4047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6.19'!$A$6:$B$6</c:f>
              <c:strCache>
                <c:ptCount val="2"/>
                <c:pt idx="0">
                  <c:v>2016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6.19'!$C$6:$F$6</c:f>
              <c:numCache>
                <c:formatCode>0%</c:formatCode>
                <c:ptCount val="4"/>
                <c:pt idx="0">
                  <c:v>0.11517493176786596</c:v>
                </c:pt>
                <c:pt idx="1">
                  <c:v>-4.758606026363002E-2</c:v>
                </c:pt>
                <c:pt idx="2">
                  <c:v>3.9085190086346033E-2</c:v>
                </c:pt>
                <c:pt idx="3">
                  <c:v>-3.3632043154825278E-2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9-4598-80D0-2FD193D8053A}"/>
            </c:ext>
          </c:extLst>
        </c:ser>
        <c:ser>
          <c:idx val="1"/>
          <c:order val="1"/>
          <c:tx>
            <c:strRef>
              <c:f>'Fig 6.19'!$A$7:$B$7</c:f>
              <c:strCache>
                <c:ptCount val="2"/>
                <c:pt idx="0">
                  <c:v>2016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6.19'!$C$7:$F$7</c:f>
              <c:numCache>
                <c:formatCode>0%</c:formatCode>
                <c:ptCount val="4"/>
                <c:pt idx="0">
                  <c:v>4.0121907183518851E-2</c:v>
                </c:pt>
                <c:pt idx="1">
                  <c:v>-8.4992544324768063E-2</c:v>
                </c:pt>
                <c:pt idx="2">
                  <c:v>9.239764092985725E-2</c:v>
                </c:pt>
                <c:pt idx="3">
                  <c:v>-0.1484883310846756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9-4598-80D0-2FD193D8053A}"/>
            </c:ext>
          </c:extLst>
        </c:ser>
        <c:ser>
          <c:idx val="2"/>
          <c:order val="2"/>
          <c:tx>
            <c:strRef>
              <c:f>'Fig 6.19'!$A$8:$B$8</c:f>
              <c:strCache>
                <c:ptCount val="2"/>
                <c:pt idx="0">
                  <c:v>2016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6.19'!$C$8:$F$8</c:f>
              <c:numCache>
                <c:formatCode>0%</c:formatCode>
                <c:ptCount val="4"/>
                <c:pt idx="0">
                  <c:v>-5.0959268552165836E-2</c:v>
                </c:pt>
                <c:pt idx="1">
                  <c:v>-0.13164908105640391</c:v>
                </c:pt>
                <c:pt idx="2">
                  <c:v>-5.4126396750784025E-2</c:v>
                </c:pt>
                <c:pt idx="3">
                  <c:v>-0.18231964932233621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9-4598-80D0-2FD193D8053A}"/>
            </c:ext>
          </c:extLst>
        </c:ser>
        <c:ser>
          <c:idx val="3"/>
          <c:order val="3"/>
          <c:tx>
            <c:strRef>
              <c:f>'Fig 6.19'!$A$9:$B$9</c:f>
              <c:strCache>
                <c:ptCount val="2"/>
                <c:pt idx="0">
                  <c:v>2016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6.19'!$C$9:$F$9</c:f>
              <c:numCache>
                <c:formatCode>0%</c:formatCode>
                <c:ptCount val="4"/>
                <c:pt idx="0">
                  <c:v>7.9535518470916167E-2</c:v>
                </c:pt>
                <c:pt idx="1">
                  <c:v>-2.2647491031419439E-2</c:v>
                </c:pt>
                <c:pt idx="2">
                  <c:v>-6.0167851728054854E-2</c:v>
                </c:pt>
                <c:pt idx="3">
                  <c:v>-5.7116414001555441E-2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9-4598-80D0-2FD193D8053A}"/>
            </c:ext>
          </c:extLst>
        </c:ser>
        <c:ser>
          <c:idx val="4"/>
          <c:order val="4"/>
          <c:tx>
            <c:strRef>
              <c:f>'Fig 6.19'!$A$10:$B$10</c:f>
              <c:strCache>
                <c:ptCount val="2"/>
                <c:pt idx="0">
                  <c:v>2017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6.19'!$C$10:$F$10</c:f>
              <c:numCache>
                <c:formatCode>0%</c:formatCode>
                <c:ptCount val="4"/>
                <c:pt idx="0">
                  <c:v>7.9949844352183563E-3</c:v>
                </c:pt>
                <c:pt idx="1">
                  <c:v>-0.10296560699935296</c:v>
                </c:pt>
                <c:pt idx="2">
                  <c:v>-8.7471095516054989E-2</c:v>
                </c:pt>
                <c:pt idx="3">
                  <c:v>-6.7769274564762741E-2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41F2-A0A9-8E247AE4F859}"/>
            </c:ext>
          </c:extLst>
        </c:ser>
        <c:ser>
          <c:idx val="5"/>
          <c:order val="5"/>
          <c:tx>
            <c:strRef>
              <c:f>'Fig 6.19'!$A$11:$B$11</c:f>
              <c:strCache>
                <c:ptCount val="2"/>
                <c:pt idx="0">
                  <c:v>2017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6.19'!$C$11:$F$11</c:f>
              <c:numCache>
                <c:formatCode>0%</c:formatCode>
                <c:ptCount val="4"/>
                <c:pt idx="0">
                  <c:v>0.11931511659797572</c:v>
                </c:pt>
                <c:pt idx="1">
                  <c:v>-8.5696560559657187E-2</c:v>
                </c:pt>
                <c:pt idx="2">
                  <c:v>-8.8077686374398306E-2</c:v>
                </c:pt>
                <c:pt idx="3">
                  <c:v>2.2440329738676233E-2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4-41F2-A0A9-8E247AE4F859}"/>
            </c:ext>
          </c:extLst>
        </c:ser>
        <c:ser>
          <c:idx val="6"/>
          <c:order val="6"/>
          <c:tx>
            <c:strRef>
              <c:f>'Fig 6.19'!$A$12:$B$12</c:f>
              <c:strCache>
                <c:ptCount val="2"/>
                <c:pt idx="0">
                  <c:v>2017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6.19'!$C$12:$F$12</c:f>
              <c:numCache>
                <c:formatCode>0%</c:formatCode>
                <c:ptCount val="4"/>
                <c:pt idx="0">
                  <c:v>9.173717732078443E-2</c:v>
                </c:pt>
                <c:pt idx="1">
                  <c:v>-7.328566403361092E-2</c:v>
                </c:pt>
                <c:pt idx="2">
                  <c:v>-1.8470022739788775E-2</c:v>
                </c:pt>
                <c:pt idx="3">
                  <c:v>-1.0110726186350944E-2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4-41F2-A0A9-8E247AE4F859}"/>
            </c:ext>
          </c:extLst>
        </c:ser>
        <c:ser>
          <c:idx val="7"/>
          <c:order val="7"/>
          <c:tx>
            <c:strRef>
              <c:f>'Fig 6.19'!$A$13:$B$13</c:f>
              <c:strCache>
                <c:ptCount val="2"/>
                <c:pt idx="0">
                  <c:v>2017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6.19'!$C$13:$F$13</c:f>
              <c:numCache>
                <c:formatCode>0%</c:formatCode>
                <c:ptCount val="4"/>
                <c:pt idx="0">
                  <c:v>-1.0375136892339565E-2</c:v>
                </c:pt>
                <c:pt idx="1">
                  <c:v>-6.8589754967704378E-2</c:v>
                </c:pt>
                <c:pt idx="2">
                  <c:v>0.11659192078313135</c:v>
                </c:pt>
                <c:pt idx="3">
                  <c:v>5.8644188204691222E-2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4-41F2-A0A9-8E247AE4F859}"/>
            </c:ext>
          </c:extLst>
        </c:ser>
        <c:ser>
          <c:idx val="8"/>
          <c:order val="8"/>
          <c:tx>
            <c:strRef>
              <c:f>'Fig 6.19'!$A$14:$B$14</c:f>
              <c:strCache>
                <c:ptCount val="2"/>
                <c:pt idx="0">
                  <c:v>2018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6.19'!$C$14:$F$14</c:f>
              <c:numCache>
                <c:formatCode>0%</c:formatCode>
                <c:ptCount val="4"/>
                <c:pt idx="0">
                  <c:v>5.8162072698075752E-2</c:v>
                </c:pt>
                <c:pt idx="1">
                  <c:v>5.3819045488666721E-2</c:v>
                </c:pt>
                <c:pt idx="2">
                  <c:v>0.13302121983424806</c:v>
                </c:pt>
                <c:pt idx="3">
                  <c:v>7.2044759314138174E-2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4-41F2-A0A9-8E247AE4F859}"/>
            </c:ext>
          </c:extLst>
        </c:ser>
        <c:ser>
          <c:idx val="9"/>
          <c:order val="9"/>
          <c:tx>
            <c:strRef>
              <c:f>'Fig 6.19'!$A$15:$B$15</c:f>
              <c:strCache>
                <c:ptCount val="2"/>
                <c:pt idx="0">
                  <c:v>2018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6.19'!$C$15:$F$15</c:f>
              <c:numCache>
                <c:formatCode>0%</c:formatCode>
                <c:ptCount val="4"/>
                <c:pt idx="0">
                  <c:v>-9.3038897606536025E-2</c:v>
                </c:pt>
                <c:pt idx="1">
                  <c:v>-4.0711027009512089E-2</c:v>
                </c:pt>
                <c:pt idx="2">
                  <c:v>3.9651095221170926E-2</c:v>
                </c:pt>
                <c:pt idx="3">
                  <c:v>-5.3223617352217062E-2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4-41F2-A0A9-8E247AE4F859}"/>
            </c:ext>
          </c:extLst>
        </c:ser>
        <c:ser>
          <c:idx val="10"/>
          <c:order val="10"/>
          <c:tx>
            <c:strRef>
              <c:f>'Fig 6.19'!$A$16:$B$16</c:f>
              <c:strCache>
                <c:ptCount val="2"/>
                <c:pt idx="0">
                  <c:v>2018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6.19'!$C$16:$F$16</c:f>
              <c:numCache>
                <c:formatCode>0%</c:formatCode>
                <c:ptCount val="4"/>
                <c:pt idx="0">
                  <c:v>-3.9856033607916702E-2</c:v>
                </c:pt>
                <c:pt idx="1">
                  <c:v>-7.9931793189965822E-2</c:v>
                </c:pt>
                <c:pt idx="2">
                  <c:v>7.6439218691218683E-2</c:v>
                </c:pt>
                <c:pt idx="3">
                  <c:v>0.16496617915362072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4-41F2-A0A9-8E247AE4F859}"/>
            </c:ext>
          </c:extLst>
        </c:ser>
        <c:ser>
          <c:idx val="11"/>
          <c:order val="11"/>
          <c:tx>
            <c:strRef>
              <c:f>'Fig 6.19'!$A$17:$B$17</c:f>
              <c:strCache>
                <c:ptCount val="2"/>
                <c:pt idx="0">
                  <c:v>2018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6.19'!$C$5:$F$5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6.19'!$C$17:$F$17</c:f>
              <c:numCache>
                <c:formatCode>0%</c:formatCode>
                <c:ptCount val="4"/>
                <c:pt idx="0">
                  <c:v>-2.0887965393399183E-2</c:v>
                </c:pt>
                <c:pt idx="1">
                  <c:v>4.331773505296109E-2</c:v>
                </c:pt>
                <c:pt idx="2">
                  <c:v>3.4870249251237807E-2</c:v>
                </c:pt>
                <c:pt idx="3">
                  <c:v>7.302158906521726E-2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4-41F2-A0A9-8E247AE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4724048"/>
        <c:axId val="404729928"/>
      </c:barChart>
      <c:catAx>
        <c:axId val="40472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9928"/>
        <c:crosses val="autoZero"/>
        <c:auto val="1"/>
        <c:lblAlgn val="ctr"/>
        <c:lblOffset val="100"/>
        <c:noMultiLvlLbl val="0"/>
      </c:catAx>
      <c:valAx>
        <c:axId val="4047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40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6.20'!$A$6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6.20'!$B$5:$E$5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6.20'!$B$6:$E$6</c:f>
              <c:numCache>
                <c:formatCode>"R$ "#,##0.000</c:formatCode>
                <c:ptCount val="4"/>
                <c:pt idx="0">
                  <c:v>0.28017063850876728</c:v>
                </c:pt>
                <c:pt idx="1">
                  <c:v>0.28705596200259553</c:v>
                </c:pt>
                <c:pt idx="2">
                  <c:v>0.32499973221344847</c:v>
                </c:pt>
                <c:pt idx="3">
                  <c:v>0.47698939279479796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8-4CDA-AC8D-EED4DE582876}"/>
            </c:ext>
          </c:extLst>
        </c:ser>
        <c:ser>
          <c:idx val="1"/>
          <c:order val="1"/>
          <c:tx>
            <c:strRef>
              <c:f>'Fig 6.20'!$A$7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6.20'!$B$5:$E$5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6.20'!$B$7:$E$7</c:f>
              <c:numCache>
                <c:formatCode>"R$ "#,##0.000</c:formatCode>
                <c:ptCount val="4"/>
                <c:pt idx="0">
                  <c:v>0.25377660143682162</c:v>
                </c:pt>
                <c:pt idx="1">
                  <c:v>0.2939641658367147</c:v>
                </c:pt>
                <c:pt idx="2">
                  <c:v>0.32456316860941653</c:v>
                </c:pt>
                <c:pt idx="3">
                  <c:v>0.44512032269201318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8-4CDA-AC8D-EED4DE582876}"/>
            </c:ext>
          </c:extLst>
        </c:ser>
        <c:ser>
          <c:idx val="2"/>
          <c:order val="2"/>
          <c:tx>
            <c:strRef>
              <c:f>'Fig 6.20'!$A$8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6.20'!$B$5:$E$5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6.20'!$B$8:$E$8</c:f>
              <c:numCache>
                <c:formatCode>"R$ "#,##0.000</c:formatCode>
                <c:ptCount val="4"/>
                <c:pt idx="0">
                  <c:v>0.24713004582382336</c:v>
                </c:pt>
                <c:pt idx="1">
                  <c:v>0.28932483969788375</c:v>
                </c:pt>
                <c:pt idx="2">
                  <c:v>0.33419286482115151</c:v>
                </c:pt>
                <c:pt idx="3">
                  <c:v>0.44794547597260231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8-4CDA-AC8D-EED4DE582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4725616"/>
        <c:axId val="404729536"/>
      </c:barChart>
      <c:catAx>
        <c:axId val="40472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29536"/>
        <c:crosses val="autoZero"/>
        <c:auto val="1"/>
        <c:lblAlgn val="ctr"/>
        <c:lblOffset val="100"/>
        <c:noMultiLvlLbl val="0"/>
      </c:catAx>
      <c:valAx>
        <c:axId val="404729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2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6.21'!$B$5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6.21'!$A$6:$A$8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6.21'!$B$6:$B$8</c:f>
              <c:numCache>
                <c:formatCode>0.0%</c:formatCode>
                <c:ptCount val="3"/>
                <c:pt idx="0">
                  <c:v>-5.0949611859511627E-2</c:v>
                </c:pt>
                <c:pt idx="1">
                  <c:v>2.4065704073607433E-2</c:v>
                </c:pt>
                <c:pt idx="2">
                  <c:v>-1.578194446124398E-2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D-4272-8D24-C402717E5716}"/>
            </c:ext>
          </c:extLst>
        </c:ser>
        <c:ser>
          <c:idx val="1"/>
          <c:order val="1"/>
          <c:tx>
            <c:strRef>
              <c:f>'Fig 6.21'!$C$5</c:f>
              <c:strCache>
                <c:ptCount val="1"/>
                <c:pt idx="0">
                  <c:v>Latam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6.21'!$A$6:$A$8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6.21'!$C$6:$C$8</c:f>
              <c:numCache>
                <c:formatCode>0.0%</c:formatCode>
                <c:ptCount val="3"/>
                <c:pt idx="0">
                  <c:v>-6.0176104523700522E-2</c:v>
                </c:pt>
                <c:pt idx="1">
                  <c:v>-9.4207006174630653E-2</c:v>
                </c:pt>
                <c:pt idx="2">
                  <c:v>-2.6190576969535702E-2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D-4272-8D24-C402717E5716}"/>
            </c:ext>
          </c:extLst>
        </c:ser>
        <c:ser>
          <c:idx val="2"/>
          <c:order val="2"/>
          <c:tx>
            <c:strRef>
              <c:f>'Fig 6.21'!$D$5</c:f>
              <c:strCache>
                <c:ptCount val="1"/>
                <c:pt idx="0">
                  <c:v>Azul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6.21'!$A$6:$A$8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6.21'!$D$6:$D$8</c:f>
              <c:numCache>
                <c:formatCode>0.0%</c:formatCode>
                <c:ptCount val="3"/>
                <c:pt idx="0">
                  <c:v>3.0337158069891055E-3</c:v>
                </c:pt>
                <c:pt idx="1">
                  <c:v>-6.6812953462248026E-2</c:v>
                </c:pt>
                <c:pt idx="2">
                  <c:v>6.3469429198448595E-3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D-4272-8D24-C402717E5716}"/>
            </c:ext>
          </c:extLst>
        </c:ser>
        <c:ser>
          <c:idx val="3"/>
          <c:order val="3"/>
          <c:tx>
            <c:strRef>
              <c:f>'Fig 6.21'!$E$5</c:f>
              <c:strCache>
                <c:ptCount val="1"/>
                <c:pt idx="0">
                  <c:v>Avianca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6.21'!$A$6:$A$8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6.21'!$E$6:$E$8</c:f>
              <c:numCache>
                <c:formatCode>0.0%</c:formatCode>
                <c:ptCount val="3"/>
                <c:pt idx="0">
                  <c:v>-7.9000799967869878E-2</c:v>
                </c:pt>
                <c:pt idx="1">
                  <c:v>-1.3432737345925466E-3</c:v>
                </c:pt>
                <c:pt idx="2">
                  <c:v>2.9669713458225087E-2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D-4272-8D24-C402717E5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4727576"/>
        <c:axId val="404730712"/>
      </c:barChart>
      <c:catAx>
        <c:axId val="40472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404730712"/>
        <c:crosses val="autoZero"/>
        <c:auto val="1"/>
        <c:lblAlgn val="ctr"/>
        <c:lblOffset val="100"/>
        <c:noMultiLvlLbl val="0"/>
      </c:catAx>
      <c:valAx>
        <c:axId val="40473071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27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6.22'!$A$6:$B$6</c:f>
              <c:strCache>
                <c:ptCount val="2"/>
                <c:pt idx="0">
                  <c:v>2016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6.22'!$C$6:$F$6</c:f>
              <c:numCache>
                <c:formatCode>_("R$ "* #,##0.000_);_("R$ "* \(#,##0.000\);_("R$ "* "-"??_);_(@_)</c:formatCode>
                <c:ptCount val="4"/>
                <c:pt idx="0">
                  <c:v>0.26714644033013502</c:v>
                </c:pt>
                <c:pt idx="1">
                  <c:v>0.30615426042161659</c:v>
                </c:pt>
                <c:pt idx="2">
                  <c:v>0.32742975070941754</c:v>
                </c:pt>
                <c:pt idx="3">
                  <c:v>0.46736357544374552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F9A-95ED-6C96B23CA4B1}"/>
            </c:ext>
          </c:extLst>
        </c:ser>
        <c:ser>
          <c:idx val="1"/>
          <c:order val="1"/>
          <c:tx>
            <c:strRef>
              <c:f>'Fig 6.22'!$A$7:$B$7</c:f>
              <c:strCache>
                <c:ptCount val="2"/>
                <c:pt idx="0">
                  <c:v>2016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6.22'!$C$7:$F$7</c:f>
              <c:numCache>
                <c:formatCode>_("R$ "* #,##0.000_);_("R$ "* \(#,##0.000\);_("R$ "* "-"??_);_(@_)</c:formatCode>
                <c:ptCount val="4"/>
                <c:pt idx="0">
                  <c:v>0.25782119254937119</c:v>
                </c:pt>
                <c:pt idx="1">
                  <c:v>0.25172289273954518</c:v>
                </c:pt>
                <c:pt idx="2">
                  <c:v>0.28972712685480934</c:v>
                </c:pt>
                <c:pt idx="3">
                  <c:v>0.4795327808808772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F9A-95ED-6C96B23CA4B1}"/>
            </c:ext>
          </c:extLst>
        </c:ser>
        <c:ser>
          <c:idx val="2"/>
          <c:order val="2"/>
          <c:tx>
            <c:strRef>
              <c:f>'Fig 6.22'!$A$8:$B$8</c:f>
              <c:strCache>
                <c:ptCount val="2"/>
                <c:pt idx="0">
                  <c:v>2016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6.22'!$C$8:$F$8</c:f>
              <c:numCache>
                <c:formatCode>_("R$ "* #,##0.000_);_("R$ "* \(#,##0.000\);_("R$ "* "-"??_);_(@_)</c:formatCode>
                <c:ptCount val="4"/>
                <c:pt idx="0">
                  <c:v>0.29687245400932044</c:v>
                </c:pt>
                <c:pt idx="1">
                  <c:v>0.28056030208693278</c:v>
                </c:pt>
                <c:pt idx="2">
                  <c:v>0.32758838990541006</c:v>
                </c:pt>
                <c:pt idx="3">
                  <c:v>0.5099533163087242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A-4F9A-95ED-6C96B23CA4B1}"/>
            </c:ext>
          </c:extLst>
        </c:ser>
        <c:ser>
          <c:idx val="3"/>
          <c:order val="3"/>
          <c:tx>
            <c:strRef>
              <c:f>'Fig 6.22'!$A$9:$B$9</c:f>
              <c:strCache>
                <c:ptCount val="2"/>
                <c:pt idx="0">
                  <c:v>2016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6.22'!$C$9:$F$9</c:f>
              <c:numCache>
                <c:formatCode>_("R$ "* #,##0.000_);_("R$ "* \(#,##0.000\);_("R$ "* "-"??_);_(@_)</c:formatCode>
                <c:ptCount val="4"/>
                <c:pt idx="0">
                  <c:v>0.30656565716137724</c:v>
                </c:pt>
                <c:pt idx="1">
                  <c:v>0.31656258525842768</c:v>
                </c:pt>
                <c:pt idx="2">
                  <c:v>0.35277408518086234</c:v>
                </c:pt>
                <c:pt idx="3">
                  <c:v>0.45732756399614144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A-4F9A-95ED-6C96B23CA4B1}"/>
            </c:ext>
          </c:extLst>
        </c:ser>
        <c:ser>
          <c:idx val="4"/>
          <c:order val="4"/>
          <c:tx>
            <c:strRef>
              <c:f>'Fig 6.22'!$A$10:$B$10</c:f>
              <c:strCache>
                <c:ptCount val="2"/>
                <c:pt idx="0">
                  <c:v>2017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6.22'!$C$10:$F$10</c:f>
              <c:numCache>
                <c:formatCode>_("R$ "* #,##0.000_);_("R$ "* \(#,##0.000\);_("R$ "* "-"??_);_(@_)</c:formatCode>
                <c:ptCount val="4"/>
                <c:pt idx="0">
                  <c:v>0.23806313238893104</c:v>
                </c:pt>
                <c:pt idx="1">
                  <c:v>0.28016321264146954</c:v>
                </c:pt>
                <c:pt idx="2">
                  <c:v>0.30093097937435098</c:v>
                </c:pt>
                <c:pt idx="3">
                  <c:v>0.41846850903106297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F-444D-8D57-7197E5468E43}"/>
            </c:ext>
          </c:extLst>
        </c:ser>
        <c:ser>
          <c:idx val="5"/>
          <c:order val="5"/>
          <c:tx>
            <c:strRef>
              <c:f>'Fig 6.22'!$A$11:$B$11</c:f>
              <c:strCache>
                <c:ptCount val="2"/>
                <c:pt idx="0">
                  <c:v>2017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6.22'!$C$11:$F$11</c:f>
              <c:numCache>
                <c:formatCode>_("R$ "* #,##0.000_);_("R$ "* \(#,##0.000\);_("R$ "* "-"??_);_(@_)</c:formatCode>
                <c:ptCount val="4"/>
                <c:pt idx="0">
                  <c:v>0.22775288468647978</c:v>
                </c:pt>
                <c:pt idx="1">
                  <c:v>0.26933931833637598</c:v>
                </c:pt>
                <c:pt idx="2">
                  <c:v>0.29676897946879699</c:v>
                </c:pt>
                <c:pt idx="3">
                  <c:v>0.41882336729601877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F-444D-8D57-7197E5468E43}"/>
            </c:ext>
          </c:extLst>
        </c:ser>
        <c:ser>
          <c:idx val="6"/>
          <c:order val="6"/>
          <c:tx>
            <c:strRef>
              <c:f>'Fig 6.22'!$A$12:$B$12</c:f>
              <c:strCache>
                <c:ptCount val="2"/>
                <c:pt idx="0">
                  <c:v>2017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6.22'!$C$12:$F$12</c:f>
              <c:numCache>
                <c:formatCode>_("R$ "* #,##0.000_);_("R$ "* \(#,##0.000\);_("R$ "* "-"??_);_(@_)</c:formatCode>
                <c:ptCount val="4"/>
                <c:pt idx="0">
                  <c:v>0.26373570212767544</c:v>
                </c:pt>
                <c:pt idx="1">
                  <c:v>0.30612152786251234</c:v>
                </c:pt>
                <c:pt idx="2">
                  <c:v>0.32498219602715123</c:v>
                </c:pt>
                <c:pt idx="3">
                  <c:v>0.4660780753901011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F-444D-8D57-7197E5468E43}"/>
            </c:ext>
          </c:extLst>
        </c:ser>
        <c:ser>
          <c:idx val="7"/>
          <c:order val="7"/>
          <c:tx>
            <c:strRef>
              <c:f>'Fig 6.22'!$A$13:$B$13</c:f>
              <c:strCache>
                <c:ptCount val="2"/>
                <c:pt idx="0">
                  <c:v>2017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6.22'!$C$13:$F$13</c:f>
              <c:numCache>
                <c:formatCode>_("R$ "* #,##0.000_);_("R$ "* \(#,##0.000\);_("R$ "* "-"??_);_(@_)</c:formatCode>
                <c:ptCount val="4"/>
                <c:pt idx="0">
                  <c:v>0.28489990901520318</c:v>
                </c:pt>
                <c:pt idx="1">
                  <c:v>0.31406449155767374</c:v>
                </c:pt>
                <c:pt idx="2">
                  <c:v>0.37995066117505005</c:v>
                </c:pt>
                <c:pt idx="3">
                  <c:v>0.47789724562993335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F-444D-8D57-7197E5468E43}"/>
            </c:ext>
          </c:extLst>
        </c:ser>
        <c:ser>
          <c:idx val="8"/>
          <c:order val="8"/>
          <c:tx>
            <c:strRef>
              <c:f>'Fig 6.22'!$A$14:$B$14</c:f>
              <c:strCache>
                <c:ptCount val="2"/>
                <c:pt idx="0">
                  <c:v>2018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6.22'!$C$14:$F$14</c:f>
              <c:numCache>
                <c:formatCode>_("R$ "* #,##0.000_);_("R$ "* \(#,##0.000\);_("R$ "* "-"??_);_(@_)</c:formatCode>
                <c:ptCount val="4"/>
                <c:pt idx="0">
                  <c:v>0.24569035391133298</c:v>
                </c:pt>
                <c:pt idx="1">
                  <c:v>0.30048260311821923</c:v>
                </c:pt>
                <c:pt idx="2">
                  <c:v>0.32747424728014624</c:v>
                </c:pt>
                <c:pt idx="3">
                  <c:v>0.44728296825668645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F-444D-8D57-7197E5468E43}"/>
            </c:ext>
          </c:extLst>
        </c:ser>
        <c:ser>
          <c:idx val="9"/>
          <c:order val="9"/>
          <c:tx>
            <c:strRef>
              <c:f>'Fig 6.22'!$A$15:$B$15</c:f>
              <c:strCache>
                <c:ptCount val="2"/>
                <c:pt idx="0">
                  <c:v>2018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6.22'!$C$15:$F$15</c:f>
              <c:numCache>
                <c:formatCode>_("R$ "* #,##0.000_);_("R$ "* \(#,##0.000\);_("R$ "* "-"??_);_(@_)</c:formatCode>
                <c:ptCount val="4"/>
                <c:pt idx="0">
                  <c:v>0.21697318775307362</c:v>
                </c:pt>
                <c:pt idx="1">
                  <c:v>0.25273261045684248</c:v>
                </c:pt>
                <c:pt idx="2">
                  <c:v>0.27804133341796217</c:v>
                </c:pt>
                <c:pt idx="3">
                  <c:v>0.41154382147311597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F-444D-8D57-7197E5468E43}"/>
            </c:ext>
          </c:extLst>
        </c:ser>
        <c:ser>
          <c:idx val="10"/>
          <c:order val="10"/>
          <c:tx>
            <c:strRef>
              <c:f>'Fig 6.22'!$A$16:$B$16</c:f>
              <c:strCache>
                <c:ptCount val="2"/>
                <c:pt idx="0">
                  <c:v>2018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6.22'!$C$16:$F$16</c:f>
              <c:numCache>
                <c:formatCode>_("R$ "* #,##0.000_);_("R$ "* \(#,##0.000\);_("R$ "* "-"??_);_(@_)</c:formatCode>
                <c:ptCount val="4"/>
                <c:pt idx="0">
                  <c:v>0.24239515610430684</c:v>
                </c:pt>
                <c:pt idx="1">
                  <c:v>0.29842337678762731</c:v>
                </c:pt>
                <c:pt idx="2">
                  <c:v>0.37044939829961115</c:v>
                </c:pt>
                <c:pt idx="3">
                  <c:v>0.46521521789802417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F-444D-8D57-7197E5468E43}"/>
            </c:ext>
          </c:extLst>
        </c:ser>
        <c:ser>
          <c:idx val="11"/>
          <c:order val="11"/>
          <c:tx>
            <c:strRef>
              <c:f>'Fig 6.22'!$A$17:$B$17</c:f>
              <c:strCache>
                <c:ptCount val="2"/>
                <c:pt idx="0">
                  <c:v>2018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6.22'!$C$5:$F$5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Azul</c:v>
                </c:pt>
              </c:strCache>
            </c:strRef>
          </c:cat>
          <c:val>
            <c:numRef>
              <c:f>'Fig 6.22'!$C$17:$F$17</c:f>
              <c:numCache>
                <c:formatCode>_("R$ "* #,##0.000_);_("R$ "* \(#,##0.000\);_("R$ "* "-"??_);_(@_)</c:formatCode>
                <c:ptCount val="4"/>
                <c:pt idx="0">
                  <c:v>0.2837008310860048</c:v>
                </c:pt>
                <c:pt idx="1">
                  <c:v>0.31234105621048597</c:v>
                </c:pt>
                <c:pt idx="2">
                  <c:v>0.39499433757483438</c:v>
                </c:pt>
                <c:pt idx="3">
                  <c:v>0.46847398065900198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5F-444D-8D57-7197E546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4723656"/>
        <c:axId val="404727968"/>
      </c:barChart>
      <c:catAx>
        <c:axId val="40472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7968"/>
        <c:crosses val="autoZero"/>
        <c:auto val="1"/>
        <c:lblAlgn val="ctr"/>
        <c:lblOffset val="100"/>
        <c:noMultiLvlLbl val="0"/>
      </c:catAx>
      <c:valAx>
        <c:axId val="404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236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6.23'!$A$6:$B$6</c:f>
              <c:strCache>
                <c:ptCount val="2"/>
                <c:pt idx="0">
                  <c:v>2016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6.23'!$C$6:$F$6</c:f>
              <c:numCache>
                <c:formatCode>0%</c:formatCode>
                <c:ptCount val="4"/>
                <c:pt idx="0">
                  <c:v>0.12365600763853386</c:v>
                </c:pt>
                <c:pt idx="1">
                  <c:v>5.0277504054725376E-3</c:v>
                </c:pt>
                <c:pt idx="2">
                  <c:v>2.0285071103366567E-2</c:v>
                </c:pt>
                <c:pt idx="3">
                  <c:v>7.5965889161552468E-3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DBB-B760-A3AAF5D3DFC5}"/>
            </c:ext>
          </c:extLst>
        </c:ser>
        <c:ser>
          <c:idx val="1"/>
          <c:order val="1"/>
          <c:tx>
            <c:strRef>
              <c:f>'Fig 6.23'!$A$7:$B$7</c:f>
              <c:strCache>
                <c:ptCount val="2"/>
                <c:pt idx="0">
                  <c:v>2016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6.23'!$C$7:$F$7</c:f>
              <c:numCache>
                <c:formatCode>0%</c:formatCode>
                <c:ptCount val="4"/>
                <c:pt idx="0">
                  <c:v>-5.5038986000380721E-2</c:v>
                </c:pt>
                <c:pt idx="1">
                  <c:v>-6.6924946055122864E-2</c:v>
                </c:pt>
                <c:pt idx="2">
                  <c:v>9.2324493407324543E-2</c:v>
                </c:pt>
                <c:pt idx="3">
                  <c:v>-0.11510632899886312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9-4DBB-B760-A3AAF5D3DFC5}"/>
            </c:ext>
          </c:extLst>
        </c:ser>
        <c:ser>
          <c:idx val="2"/>
          <c:order val="2"/>
          <c:tx>
            <c:strRef>
              <c:f>'Fig 6.23'!$A$8:$B$8</c:f>
              <c:strCache>
                <c:ptCount val="2"/>
                <c:pt idx="0">
                  <c:v>2016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6.23'!$C$8:$F$8</c:f>
              <c:numCache>
                <c:formatCode>0%</c:formatCode>
                <c:ptCount val="4"/>
                <c:pt idx="0">
                  <c:v>-0.1525399922816196</c:v>
                </c:pt>
                <c:pt idx="1">
                  <c:v>-0.12835335609666371</c:v>
                </c:pt>
                <c:pt idx="2">
                  <c:v>-1.0501267004087614E-2</c:v>
                </c:pt>
                <c:pt idx="3">
                  <c:v>-0.15631228523397941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9-4DBB-B760-A3AAF5D3DFC5}"/>
            </c:ext>
          </c:extLst>
        </c:ser>
        <c:ser>
          <c:idx val="3"/>
          <c:order val="3"/>
          <c:tx>
            <c:strRef>
              <c:f>'Fig 6.23'!$A$9:$B$9</c:f>
              <c:strCache>
                <c:ptCount val="2"/>
                <c:pt idx="0">
                  <c:v>2016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6.23'!$C$9:$F$9</c:f>
              <c:numCache>
                <c:formatCode>0%</c:formatCode>
                <c:ptCount val="4"/>
                <c:pt idx="0">
                  <c:v>-0.1031999860590001</c:v>
                </c:pt>
                <c:pt idx="1">
                  <c:v>-5.6265021839055691E-2</c:v>
                </c:pt>
                <c:pt idx="2">
                  <c:v>-7.8970002585063259E-2</c:v>
                </c:pt>
                <c:pt idx="3">
                  <c:v>-5.1359717964343882E-2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9-4DBB-B760-A3AAF5D3DFC5}"/>
            </c:ext>
          </c:extLst>
        </c:ser>
        <c:ser>
          <c:idx val="4"/>
          <c:order val="4"/>
          <c:tx>
            <c:strRef>
              <c:f>'Fig 6.23'!$A$10:$B$10</c:f>
              <c:strCache>
                <c:ptCount val="2"/>
                <c:pt idx="0">
                  <c:v>2017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6.23'!$C$10:$F$10</c:f>
              <c:numCache>
                <c:formatCode>0%</c:formatCode>
                <c:ptCount val="4"/>
                <c:pt idx="0">
                  <c:v>-8.4895267321623405E-2</c:v>
                </c:pt>
                <c:pt idx="1">
                  <c:v>-0.10886653741394915</c:v>
                </c:pt>
                <c:pt idx="2">
                  <c:v>-0.1046189069532395</c:v>
                </c:pt>
                <c:pt idx="3">
                  <c:v>-8.0929638426727124E-2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0CD-96AE-4F4991E2D1C3}"/>
            </c:ext>
          </c:extLst>
        </c:ser>
        <c:ser>
          <c:idx val="5"/>
          <c:order val="5"/>
          <c:tx>
            <c:strRef>
              <c:f>'Fig 6.23'!$A$11:$B$11</c:f>
              <c:strCache>
                <c:ptCount val="2"/>
                <c:pt idx="0">
                  <c:v>2017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6.23'!$C$11:$F$11</c:f>
              <c:numCache>
                <c:formatCode>0%</c:formatCode>
                <c:ptCount val="4"/>
                <c:pt idx="0">
                  <c:v>6.998340677364738E-2</c:v>
                </c:pt>
                <c:pt idx="1">
                  <c:v>-0.11662465589260478</c:v>
                </c:pt>
                <c:pt idx="2">
                  <c:v>-0.12660117515498803</c:v>
                </c:pt>
                <c:pt idx="3">
                  <c:v>2.430512009845916E-2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40CD-96AE-4F4991E2D1C3}"/>
            </c:ext>
          </c:extLst>
        </c:ser>
        <c:ser>
          <c:idx val="6"/>
          <c:order val="6"/>
          <c:tx>
            <c:strRef>
              <c:f>'Fig 6.23'!$A$12:$B$12</c:f>
              <c:strCache>
                <c:ptCount val="2"/>
                <c:pt idx="0">
                  <c:v>2017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6.23'!$C$12:$F$12</c:f>
              <c:numCache>
                <c:formatCode>0%</c:formatCode>
                <c:ptCount val="4"/>
                <c:pt idx="0">
                  <c:v>9.11077782046988E-2</c:v>
                </c:pt>
                <c:pt idx="1">
                  <c:v>-0.11161948989920316</c:v>
                </c:pt>
                <c:pt idx="2">
                  <c:v>-8.6037759762427279E-2</c:v>
                </c:pt>
                <c:pt idx="3">
                  <c:v>-7.9556967174916129E-3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9-40CD-96AE-4F4991E2D1C3}"/>
            </c:ext>
          </c:extLst>
        </c:ser>
        <c:ser>
          <c:idx val="7"/>
          <c:order val="7"/>
          <c:tx>
            <c:strRef>
              <c:f>'Fig 6.23'!$A$13:$B$13</c:f>
              <c:strCache>
                <c:ptCount val="2"/>
                <c:pt idx="0">
                  <c:v>2017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6.23'!$C$13:$F$13</c:f>
              <c:numCache>
                <c:formatCode>0%</c:formatCode>
                <c:ptCount val="4"/>
                <c:pt idx="0">
                  <c:v>-7.8913106509873893E-3</c:v>
                </c:pt>
                <c:pt idx="1">
                  <c:v>-7.0672456748047063E-2</c:v>
                </c:pt>
                <c:pt idx="2">
                  <c:v>4.4978005379893229E-2</c:v>
                </c:pt>
                <c:pt idx="3">
                  <c:v>7.7036769807665051E-2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9-40CD-96AE-4F4991E2D1C3}"/>
            </c:ext>
          </c:extLst>
        </c:ser>
        <c:ser>
          <c:idx val="8"/>
          <c:order val="8"/>
          <c:tx>
            <c:strRef>
              <c:f>'Fig 6.23'!$A$14:$B$14</c:f>
              <c:strCache>
                <c:ptCount val="2"/>
                <c:pt idx="0">
                  <c:v>2018</c:v>
                </c:pt>
                <c:pt idx="1">
                  <c:v>T1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6.23'!$C$14:$F$14</c:f>
              <c:numCache>
                <c:formatCode>0%</c:formatCode>
                <c:ptCount val="4"/>
                <c:pt idx="0">
                  <c:v>7.2526975562465498E-2</c:v>
                </c:pt>
                <c:pt idx="1">
                  <c:v>3.2038650612817778E-2</c:v>
                </c:pt>
                <c:pt idx="2">
                  <c:v>6.8856935716241852E-2</c:v>
                </c:pt>
                <c:pt idx="3">
                  <c:v>8.8203839833904438E-2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9-40CD-96AE-4F4991E2D1C3}"/>
            </c:ext>
          </c:extLst>
        </c:ser>
        <c:ser>
          <c:idx val="9"/>
          <c:order val="9"/>
          <c:tx>
            <c:strRef>
              <c:f>'Fig 6.23'!$A$15:$B$15</c:f>
              <c:strCache>
                <c:ptCount val="2"/>
                <c:pt idx="0">
                  <c:v>2018</c:v>
                </c:pt>
                <c:pt idx="1">
                  <c:v>T2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6.23'!$C$15:$F$15</c:f>
              <c:numCache>
                <c:formatCode>0%</c:formatCode>
                <c:ptCount val="4"/>
                <c:pt idx="0">
                  <c:v>-6.165719874137908E-2</c:v>
                </c:pt>
                <c:pt idx="1">
                  <c:v>-4.7330671346908673E-2</c:v>
                </c:pt>
                <c:pt idx="2">
                  <c:v>-1.7380944788015405E-2</c:v>
                </c:pt>
                <c:pt idx="3">
                  <c:v>-6.3105133442034472E-2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9-40CD-96AE-4F4991E2D1C3}"/>
            </c:ext>
          </c:extLst>
        </c:ser>
        <c:ser>
          <c:idx val="10"/>
          <c:order val="10"/>
          <c:tx>
            <c:strRef>
              <c:f>'Fig 6.23'!$A$16:$B$16</c:f>
              <c:strCache>
                <c:ptCount val="2"/>
                <c:pt idx="0">
                  <c:v>2018</c:v>
                </c:pt>
                <c:pt idx="1">
                  <c:v>T3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6.23'!$C$16:$F$16</c:f>
              <c:numCache>
                <c:formatCode>0%</c:formatCode>
                <c:ptCount val="4"/>
                <c:pt idx="0">
                  <c:v>-2.5147369179283861E-2</c:v>
                </c:pt>
                <c:pt idx="1">
                  <c:v>-8.0916409311309556E-2</c:v>
                </c:pt>
                <c:pt idx="2">
                  <c:v>-1.8513153431530312E-3</c:v>
                </c:pt>
                <c:pt idx="3">
                  <c:v>0.13990674821048132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D9-40CD-96AE-4F4991E2D1C3}"/>
            </c:ext>
          </c:extLst>
        </c:ser>
        <c:ser>
          <c:idx val="11"/>
          <c:order val="11"/>
          <c:tx>
            <c:strRef>
              <c:f>'Fig 6.23'!$A$17:$B$17</c:f>
              <c:strCache>
                <c:ptCount val="2"/>
                <c:pt idx="0">
                  <c:v>2018</c:v>
                </c:pt>
                <c:pt idx="1">
                  <c:v>T4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6.23'!$C$5:$F$5</c:f>
              <c:strCache>
                <c:ptCount val="4"/>
                <c:pt idx="0">
                  <c:v>Gol</c:v>
                </c:pt>
                <c:pt idx="1">
                  <c:v>Latam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6.23'!$C$17:$F$17</c:f>
              <c:numCache>
                <c:formatCode>0%</c:formatCode>
                <c:ptCount val="4"/>
                <c:pt idx="0">
                  <c:v>-5.4875205364350718E-3</c:v>
                </c:pt>
                <c:pt idx="1">
                  <c:v>-4.20876908435373E-3</c:v>
                </c:pt>
                <c:pt idx="2">
                  <c:v>-1.9718182218251199E-2</c:v>
                </c:pt>
                <c:pt idx="3">
                  <c:v>3.9593762919795085E-2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D9-40CD-96AE-4F4991E2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4704056"/>
        <c:axId val="404705624"/>
      </c:barChart>
      <c:catAx>
        <c:axId val="40470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05624"/>
        <c:crosses val="autoZero"/>
        <c:auto val="1"/>
        <c:lblAlgn val="ctr"/>
        <c:lblOffset val="100"/>
        <c:noMultiLvlLbl val="0"/>
      </c:catAx>
      <c:valAx>
        <c:axId val="4047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47040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6.24'!$B$5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6.24'!$A$6:$A$8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6.24'!$B$6:$B$8</c:f>
              <c:numCache>
                <c:formatCode>0.0%</c:formatCode>
                <c:ptCount val="3"/>
                <c:pt idx="0">
                  <c:v>9.499113088575091E-2</c:v>
                </c:pt>
                <c:pt idx="1">
                  <c:v>4.073980983422807E-2</c:v>
                </c:pt>
                <c:pt idx="2">
                  <c:v>-2.0017321997168217E-2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D2C-B42B-1A22D9CF2869}"/>
            </c:ext>
          </c:extLst>
        </c:ser>
        <c:ser>
          <c:idx val="1"/>
          <c:order val="1"/>
          <c:tx>
            <c:strRef>
              <c:f>'Fig 6.24'!$C$5</c:f>
              <c:strCache>
                <c:ptCount val="1"/>
                <c:pt idx="0">
                  <c:v>Latam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6.24'!$A$6:$A$8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6.24'!$C$6:$C$8</c:f>
              <c:numCache>
                <c:formatCode>0.0%</c:formatCode>
                <c:ptCount val="3"/>
                <c:pt idx="0">
                  <c:v>-1.4036178245710964E-2</c:v>
                </c:pt>
                <c:pt idx="1">
                  <c:v>2.3629954642011394E-2</c:v>
                </c:pt>
                <c:pt idx="2">
                  <c:v>1.9087684951275941E-2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D2C-B42B-1A22D9CF2869}"/>
            </c:ext>
          </c:extLst>
        </c:ser>
        <c:ser>
          <c:idx val="2"/>
          <c:order val="2"/>
          <c:tx>
            <c:strRef>
              <c:f>'Fig 6.24'!$D$5</c:f>
              <c:strCache>
                <c:ptCount val="1"/>
                <c:pt idx="0">
                  <c:v>Azul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6.24'!$A$6:$A$8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6.24'!$D$6:$D$8</c:f>
              <c:numCache>
                <c:formatCode>0.0%</c:formatCode>
                <c:ptCount val="3"/>
                <c:pt idx="0">
                  <c:v>1.8003803157247309E-3</c:v>
                </c:pt>
                <c:pt idx="1">
                  <c:v>4.8342835964028642E-2</c:v>
                </c:pt>
                <c:pt idx="2">
                  <c:v>6.3281220950053563E-2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5-4D2C-B42B-1A22D9CF2869}"/>
            </c:ext>
          </c:extLst>
        </c:ser>
        <c:ser>
          <c:idx val="3"/>
          <c:order val="3"/>
          <c:tx>
            <c:strRef>
              <c:f>'Fig 6.24'!$E$5</c:f>
              <c:strCache>
                <c:ptCount val="1"/>
                <c:pt idx="0">
                  <c:v>Avianca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6.24'!$A$6:$A$8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 6.24'!$E$6:$E$8</c:f>
              <c:numCache>
                <c:formatCode>0.0%</c:formatCode>
                <c:ptCount val="3"/>
                <c:pt idx="0">
                  <c:v>-2.8616404713160487E-2</c:v>
                </c:pt>
                <c:pt idx="1">
                  <c:v>-2.0767341325105796E-3</c:v>
                </c:pt>
                <c:pt idx="2">
                  <c:v>1.2059790778542473E-2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5-4D2C-B42B-1A22D9CF2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4710720"/>
        <c:axId val="404703664"/>
      </c:barChart>
      <c:catAx>
        <c:axId val="4047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3664"/>
        <c:crosses val="autoZero"/>
        <c:auto val="1"/>
        <c:lblAlgn val="ctr"/>
        <c:lblOffset val="100"/>
        <c:noMultiLvlLbl val="0"/>
      </c:catAx>
      <c:valAx>
        <c:axId val="404703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(&quot;R$ &quot;* #,##0_);_(&quot;R$ &quot;* \(#,##0\);_(&quot;R$ &quot;* &quot;-&quot;_);_(@_)" sourceLinked="0"/>
        <c:majorTickMark val="out"/>
        <c:minorTickMark val="none"/>
        <c:tickLblPos val="nextTo"/>
        <c:crossAx val="4047107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6.25'!$C$5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6.25'!$A$6:$B$32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6.25'!$C$6:$C$32</c:f>
              <c:numCache>
                <c:formatCode>_("R$ "* #,##0.00_);_("R$ "* \(#,##0.00\);_("R$ "* "-"??_);_(@_)</c:formatCode>
                <c:ptCount val="27"/>
                <c:pt idx="0">
                  <c:v>348.00745616198247</c:v>
                </c:pt>
                <c:pt idx="1">
                  <c:v>374.83027084553356</c:v>
                </c:pt>
                <c:pt idx="2">
                  <c:v>363.03356072129367</c:v>
                </c:pt>
                <c:pt idx="3">
                  <c:v>348.91204596850076</c:v>
                </c:pt>
                <c:pt idx="4">
                  <c:v>330.14915392384222</c:v>
                </c:pt>
                <c:pt idx="5">
                  <c:v>351.21821502569185</c:v>
                </c:pt>
                <c:pt idx="6">
                  <c:v>317.65350895413513</c:v>
                </c:pt>
                <c:pt idx="7">
                  <c:v>457.02449599685525</c:v>
                </c:pt>
                <c:pt idx="8">
                  <c:v>646.70046792838627</c:v>
                </c:pt>
                <c:pt idx="9">
                  <c:v>556.54754572469835</c:v>
                </c:pt>
                <c:pt idx="10">
                  <c:v>403.27681994688339</c:v>
                </c:pt>
                <c:pt idx="11">
                  <c:v>405.99621820585344</c:v>
                </c:pt>
                <c:pt idx="12">
                  <c:v>459.17097206439848</c:v>
                </c:pt>
                <c:pt idx="13">
                  <c:v>528.29827534010758</c:v>
                </c:pt>
                <c:pt idx="14">
                  <c:v>432.54560766068698</c:v>
                </c:pt>
                <c:pt idx="15">
                  <c:v>462.70861683745807</c:v>
                </c:pt>
                <c:pt idx="16">
                  <c:v>468.46456630901355</c:v>
                </c:pt>
                <c:pt idx="17">
                  <c:v>416.73187611491943</c:v>
                </c:pt>
                <c:pt idx="18">
                  <c:v>473.45667329999952</c:v>
                </c:pt>
                <c:pt idx="19">
                  <c:v>435.31057197755422</c:v>
                </c:pt>
                <c:pt idx="20">
                  <c:v>395.42739737186503</c:v>
                </c:pt>
                <c:pt idx="21">
                  <c:v>396.80623819920476</c:v>
                </c:pt>
                <c:pt idx="22">
                  <c:v>487.99248519322526</c:v>
                </c:pt>
                <c:pt idx="23">
                  <c:v>468.33341633309504</c:v>
                </c:pt>
                <c:pt idx="24">
                  <c:v>403.84137684493686</c:v>
                </c:pt>
                <c:pt idx="25">
                  <c:v>414.54700888023007</c:v>
                </c:pt>
                <c:pt idx="26">
                  <c:v>345.63553718434792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3FB-B8FB-CC399C3D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698568"/>
        <c:axId val="404706408"/>
      </c:barChart>
      <c:catAx>
        <c:axId val="40469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6408"/>
        <c:crosses val="autoZero"/>
        <c:auto val="1"/>
        <c:lblAlgn val="ctr"/>
        <c:lblOffset val="100"/>
        <c:noMultiLvlLbl val="0"/>
      </c:catAx>
      <c:valAx>
        <c:axId val="404706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Tarifa Aérea Média Real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crossAx val="404698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085588251116"/>
          <c:y val="2.0591732827925698E-2"/>
          <c:w val="0.85728836049993729"/>
          <c:h val="0.969119551035007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2.10'!$A$6:$A$25</c:f>
              <c:strCache>
                <c:ptCount val="20"/>
                <c:pt idx="0">
                  <c:v> São Paulo - Guarulhos </c:v>
                </c:pt>
                <c:pt idx="1">
                  <c:v> São Paulo - Congonhas </c:v>
                </c:pt>
                <c:pt idx="2">
                  <c:v> Brasília </c:v>
                </c:pt>
                <c:pt idx="3">
                  <c:v> Belo Horizonte - Confins </c:v>
                </c:pt>
                <c:pt idx="4">
                  <c:v> Campinas </c:v>
                </c:pt>
                <c:pt idx="5">
                  <c:v> Rio De Janeiro - Santos Dumont </c:v>
                </c:pt>
                <c:pt idx="6">
                  <c:v> Rio De Janeiro - Galeão </c:v>
                </c:pt>
                <c:pt idx="7">
                  <c:v> Recife </c:v>
                </c:pt>
                <c:pt idx="8">
                  <c:v> Porto Alegre </c:v>
                </c:pt>
                <c:pt idx="9">
                  <c:v> Salvador </c:v>
                </c:pt>
                <c:pt idx="10">
                  <c:v> Curitiba </c:v>
                </c:pt>
                <c:pt idx="11">
                  <c:v> Fortaleza </c:v>
                </c:pt>
                <c:pt idx="12">
                  <c:v> Goiânia </c:v>
                </c:pt>
                <c:pt idx="13">
                  <c:v> Florianópolis </c:v>
                </c:pt>
                <c:pt idx="14">
                  <c:v> Cuiabá </c:v>
                </c:pt>
                <c:pt idx="15">
                  <c:v> Belém </c:v>
                </c:pt>
                <c:pt idx="16">
                  <c:v> Vitória </c:v>
                </c:pt>
                <c:pt idx="17">
                  <c:v> Manaus </c:v>
                </c:pt>
                <c:pt idx="18">
                  <c:v> Natal </c:v>
                </c:pt>
                <c:pt idx="19">
                  <c:v> Foz Do Iguaçu </c:v>
                </c:pt>
              </c:strCache>
            </c:strRef>
          </c:cat>
          <c:val>
            <c:numRef>
              <c:f>'Fig 2.10'!$B$6:$B$25</c:f>
              <c:numCache>
                <c:formatCode>0.0%</c:formatCode>
                <c:ptCount val="20"/>
                <c:pt idx="0">
                  <c:v>0.11540783471961363</c:v>
                </c:pt>
                <c:pt idx="1">
                  <c:v>8.1165857679274655E-3</c:v>
                </c:pt>
                <c:pt idx="2">
                  <c:v>4.9800061025550436E-2</c:v>
                </c:pt>
                <c:pt idx="3">
                  <c:v>1.0931872908986298E-2</c:v>
                </c:pt>
                <c:pt idx="4">
                  <c:v>-2.6757238122851343E-2</c:v>
                </c:pt>
                <c:pt idx="5">
                  <c:v>-2.3645935575979299E-2</c:v>
                </c:pt>
                <c:pt idx="6">
                  <c:v>-0.13222007461680227</c:v>
                </c:pt>
                <c:pt idx="7">
                  <c:v>6.4446338425227831E-2</c:v>
                </c:pt>
                <c:pt idx="8">
                  <c:v>1.7580780936346563E-2</c:v>
                </c:pt>
                <c:pt idx="9">
                  <c:v>-1.1453235454051115E-2</c:v>
                </c:pt>
                <c:pt idx="10">
                  <c:v>-5.9489243764022703E-2</c:v>
                </c:pt>
                <c:pt idx="11">
                  <c:v>8.440486316105468E-2</c:v>
                </c:pt>
                <c:pt idx="12">
                  <c:v>4.6975723494719519E-2</c:v>
                </c:pt>
                <c:pt idx="13">
                  <c:v>-3.6932581251678752E-3</c:v>
                </c:pt>
                <c:pt idx="14">
                  <c:v>7.9704369248605172E-3</c:v>
                </c:pt>
                <c:pt idx="15">
                  <c:v>7.7231546116144365E-3</c:v>
                </c:pt>
                <c:pt idx="16">
                  <c:v>8.9795297161555446E-3</c:v>
                </c:pt>
                <c:pt idx="17">
                  <c:v>5.3836036825953532E-2</c:v>
                </c:pt>
                <c:pt idx="18">
                  <c:v>-1.8827959519887032E-3</c:v>
                </c:pt>
                <c:pt idx="19">
                  <c:v>1.7452006980802793E-3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37D-4E9C-89BF-F65D9521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587928"/>
        <c:axId val="132587144"/>
      </c:barChart>
      <c:valAx>
        <c:axId val="132587144"/>
        <c:scaling>
          <c:orientation val="minMax"/>
        </c:scaling>
        <c:delete val="1"/>
        <c:axPos val="t"/>
        <c:numFmt formatCode="0%" sourceLinked="0"/>
        <c:majorTickMark val="out"/>
        <c:minorTickMark val="none"/>
        <c:tickLblPos val="nextTo"/>
        <c:crossAx val="132587928"/>
        <c:crosses val="autoZero"/>
        <c:crossBetween val="between"/>
      </c:valAx>
      <c:catAx>
        <c:axId val="1325879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1325871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256199494949493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6.26'!$C$5</c:f>
              <c:strCache>
                <c:ptCount val="1"/>
                <c:pt idx="0">
                  <c:v>Var % com relação a 2017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6.26'!$A$6:$B$32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6.26'!$C$6:$C$32</c:f>
              <c:numCache>
                <c:formatCode>0.0%</c:formatCode>
                <c:ptCount val="27"/>
                <c:pt idx="0">
                  <c:v>6.3937740946121382E-2</c:v>
                </c:pt>
                <c:pt idx="1">
                  <c:v>3.5403702211599782E-2</c:v>
                </c:pt>
                <c:pt idx="2">
                  <c:v>4.9884030385193873E-2</c:v>
                </c:pt>
                <c:pt idx="3">
                  <c:v>-2.5225227582189126E-2</c:v>
                </c:pt>
                <c:pt idx="4">
                  <c:v>5.3323818949976225E-2</c:v>
                </c:pt>
                <c:pt idx="5">
                  <c:v>4.9134230342116073E-2</c:v>
                </c:pt>
                <c:pt idx="6">
                  <c:v>3.7765468265798857E-3</c:v>
                </c:pt>
                <c:pt idx="7">
                  <c:v>7.1382250329557834E-2</c:v>
                </c:pt>
                <c:pt idx="8">
                  <c:v>2.6851635084713055E-2</c:v>
                </c:pt>
                <c:pt idx="9">
                  <c:v>-8.7903526764408796E-2</c:v>
                </c:pt>
                <c:pt idx="10">
                  <c:v>-9.7574100534401506E-2</c:v>
                </c:pt>
                <c:pt idx="11">
                  <c:v>6.961592829289906E-2</c:v>
                </c:pt>
                <c:pt idx="12">
                  <c:v>-5.4203847664629726E-2</c:v>
                </c:pt>
                <c:pt idx="13">
                  <c:v>-0.11552000053083987</c:v>
                </c:pt>
                <c:pt idx="14">
                  <c:v>6.8871205144417705E-2</c:v>
                </c:pt>
                <c:pt idx="15">
                  <c:v>-2.570380789972098E-2</c:v>
                </c:pt>
                <c:pt idx="16">
                  <c:v>1.5545863418409581E-2</c:v>
                </c:pt>
                <c:pt idx="17">
                  <c:v>3.0115861591103847E-2</c:v>
                </c:pt>
                <c:pt idx="18">
                  <c:v>-2.9960442383897685E-2</c:v>
                </c:pt>
                <c:pt idx="19">
                  <c:v>4.1568980679162343E-2</c:v>
                </c:pt>
                <c:pt idx="20">
                  <c:v>-6.5554713756478797E-2</c:v>
                </c:pt>
                <c:pt idx="21">
                  <c:v>6.7827171815301804E-2</c:v>
                </c:pt>
                <c:pt idx="22">
                  <c:v>5.5948900167109336E-2</c:v>
                </c:pt>
                <c:pt idx="23">
                  <c:v>-3.8437837559635618E-2</c:v>
                </c:pt>
                <c:pt idx="24">
                  <c:v>1.729195832854144E-2</c:v>
                </c:pt>
                <c:pt idx="25">
                  <c:v>2.4507192486242332E-2</c:v>
                </c:pt>
                <c:pt idx="26">
                  <c:v>-6.3545324665652547E-2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305-43ED-8FBC-9CBAFADDD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30"/>
        <c:axId val="404705232"/>
        <c:axId val="404704448"/>
      </c:barChart>
      <c:catAx>
        <c:axId val="4047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4448"/>
        <c:crosses val="autoZero"/>
        <c:auto val="1"/>
        <c:lblAlgn val="ctr"/>
        <c:lblOffset val="100"/>
        <c:noMultiLvlLbl val="0"/>
      </c:catAx>
      <c:valAx>
        <c:axId val="4047044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Variaçã da Taria Média com relação a 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crossAx val="404705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256199494949493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6.27'!$C$5</c:f>
              <c:strCache>
                <c:ptCount val="1"/>
                <c:pt idx="0">
                  <c:v>Var % com relação a 2011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6.27'!$A$6:$B$32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6.27'!$C$6:$C$32</c:f>
              <c:numCache>
                <c:formatCode>0.0%</c:formatCode>
                <c:ptCount val="27"/>
                <c:pt idx="0">
                  <c:v>-7.2009603968955005E-2</c:v>
                </c:pt>
                <c:pt idx="1">
                  <c:v>1.5837165908500081E-2</c:v>
                </c:pt>
                <c:pt idx="2">
                  <c:v>5.2033426866015371E-2</c:v>
                </c:pt>
                <c:pt idx="3">
                  <c:v>-0.13105637708939247</c:v>
                </c:pt>
                <c:pt idx="4">
                  <c:v>-0.15841212329948004</c:v>
                </c:pt>
                <c:pt idx="5">
                  <c:v>7.3723914860386291E-2</c:v>
                </c:pt>
                <c:pt idx="6">
                  <c:v>-0.14064387578112789</c:v>
                </c:pt>
                <c:pt idx="7">
                  <c:v>-8.428122505968412E-2</c:v>
                </c:pt>
                <c:pt idx="8">
                  <c:v>-2.3350231236555549E-2</c:v>
                </c:pt>
                <c:pt idx="9">
                  <c:v>-6.9944018233907071E-2</c:v>
                </c:pt>
                <c:pt idx="10">
                  <c:v>-0.30873876948661705</c:v>
                </c:pt>
                <c:pt idx="11">
                  <c:v>-0.15476567332784691</c:v>
                </c:pt>
                <c:pt idx="12">
                  <c:v>-0.2559578445069921</c:v>
                </c:pt>
                <c:pt idx="13">
                  <c:v>-0.16406207739035875</c:v>
                </c:pt>
                <c:pt idx="14">
                  <c:v>-0.15613961350518898</c:v>
                </c:pt>
                <c:pt idx="15">
                  <c:v>-0.11748827216258383</c:v>
                </c:pt>
                <c:pt idx="16">
                  <c:v>-8.7476577407284553E-2</c:v>
                </c:pt>
                <c:pt idx="17">
                  <c:v>-0.16871656229750459</c:v>
                </c:pt>
                <c:pt idx="18">
                  <c:v>-0.13467776419433564</c:v>
                </c:pt>
                <c:pt idx="19">
                  <c:v>-0.19398597691450228</c:v>
                </c:pt>
                <c:pt idx="20">
                  <c:v>-0.21246249317390484</c:v>
                </c:pt>
                <c:pt idx="21">
                  <c:v>1.0899750203909446E-2</c:v>
                </c:pt>
                <c:pt idx="22">
                  <c:v>-2.8327278935592261E-2</c:v>
                </c:pt>
                <c:pt idx="23">
                  <c:v>-5.604701028926423E-3</c:v>
                </c:pt>
                <c:pt idx="24">
                  <c:v>1.7624187962233797E-3</c:v>
                </c:pt>
                <c:pt idx="25">
                  <c:v>-6.1072021336651572E-2</c:v>
                </c:pt>
                <c:pt idx="26">
                  <c:v>-0.17375735071272894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FFF-4297-A033-E2285C7BB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30"/>
        <c:axId val="404701312"/>
        <c:axId val="404708760"/>
      </c:barChart>
      <c:catAx>
        <c:axId val="40470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8760"/>
        <c:crosses val="autoZero"/>
        <c:auto val="1"/>
        <c:lblAlgn val="ctr"/>
        <c:lblOffset val="100"/>
        <c:noMultiLvlLbl val="0"/>
      </c:catAx>
      <c:valAx>
        <c:axId val="404708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Variaçã da Taria Média com relação a 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crossAx val="40470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6.28'!$C$5</c:f>
              <c:strCache>
                <c:ptCount val="1"/>
                <c:pt idx="0">
                  <c:v>Percentual de Tarifas a menos de R$ 100,00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6.28'!$A$6:$B$32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6.28'!$C$6:$C$32</c:f>
              <c:numCache>
                <c:formatCode>0.0%</c:formatCode>
                <c:ptCount val="27"/>
                <c:pt idx="0">
                  <c:v>5.3776723996030382E-2</c:v>
                </c:pt>
                <c:pt idx="1">
                  <c:v>4.7535516855727752E-2</c:v>
                </c:pt>
                <c:pt idx="2">
                  <c:v>7.495708616626956E-2</c:v>
                </c:pt>
                <c:pt idx="3">
                  <c:v>9.4648296507555171E-2</c:v>
                </c:pt>
                <c:pt idx="4">
                  <c:v>9.2528368080289483E-2</c:v>
                </c:pt>
                <c:pt idx="5">
                  <c:v>8.9381927344254583E-2</c:v>
                </c:pt>
                <c:pt idx="6">
                  <c:v>6.6885370317832551E-2</c:v>
                </c:pt>
                <c:pt idx="7">
                  <c:v>6.1129249442015754E-2</c:v>
                </c:pt>
                <c:pt idx="8">
                  <c:v>2.9634049323786795E-2</c:v>
                </c:pt>
                <c:pt idx="9">
                  <c:v>1.0842429834199419E-2</c:v>
                </c:pt>
                <c:pt idx="10">
                  <c:v>2.9493143022686782E-2</c:v>
                </c:pt>
                <c:pt idx="11">
                  <c:v>3.0138703734626113E-2</c:v>
                </c:pt>
                <c:pt idx="12">
                  <c:v>1.9326264835958382E-2</c:v>
                </c:pt>
                <c:pt idx="13">
                  <c:v>1.9732158319062554E-2</c:v>
                </c:pt>
                <c:pt idx="14">
                  <c:v>5.8112435658836748E-3</c:v>
                </c:pt>
                <c:pt idx="15">
                  <c:v>5.7312452911419655E-2</c:v>
                </c:pt>
                <c:pt idx="16">
                  <c:v>5.5904541540257265E-2</c:v>
                </c:pt>
                <c:pt idx="17">
                  <c:v>2.0404731032643279E-2</c:v>
                </c:pt>
                <c:pt idx="18">
                  <c:v>1.0936856586680642E-2</c:v>
                </c:pt>
                <c:pt idx="19">
                  <c:v>7.321360403244026E-2</c:v>
                </c:pt>
                <c:pt idx="20">
                  <c:v>6.7935743843802812E-2</c:v>
                </c:pt>
                <c:pt idx="21">
                  <c:v>1.2942168072511921E-2</c:v>
                </c:pt>
                <c:pt idx="22">
                  <c:v>2.2460035898565463E-3</c:v>
                </c:pt>
                <c:pt idx="23">
                  <c:v>1.319865863888923E-2</c:v>
                </c:pt>
                <c:pt idx="24">
                  <c:v>3.0155484902067466E-2</c:v>
                </c:pt>
                <c:pt idx="25">
                  <c:v>2.3020256637465351E-2</c:v>
                </c:pt>
                <c:pt idx="26">
                  <c:v>0.10384366258736007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1-424D-8619-7106A634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700136"/>
        <c:axId val="404706016"/>
      </c:barChart>
      <c:catAx>
        <c:axId val="40470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6016"/>
        <c:crosses val="autoZero"/>
        <c:auto val="1"/>
        <c:lblAlgn val="ctr"/>
        <c:lblOffset val="100"/>
        <c:noMultiLvlLbl val="0"/>
      </c:catAx>
      <c:valAx>
        <c:axId val="404706016"/>
        <c:scaling>
          <c:orientation val="minMax"/>
          <c:max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Percentual de assentos comercializados a menos de R$ 100,00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out"/>
        <c:minorTickMark val="none"/>
        <c:tickLblPos val="nextTo"/>
        <c:crossAx val="404700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6.29'!$C$5</c:f>
              <c:strCache>
                <c:ptCount val="1"/>
                <c:pt idx="0">
                  <c:v>Percentual de Tarifas a menos de R$ 300,00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6.29'!$A$6:$B$32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6.29'!$C$6:$C$32</c:f>
              <c:numCache>
                <c:formatCode>0.0%</c:formatCode>
                <c:ptCount val="27"/>
                <c:pt idx="0">
                  <c:v>0.56380089892663054</c:v>
                </c:pt>
                <c:pt idx="1">
                  <c:v>0.51618034829845028</c:v>
                </c:pt>
                <c:pt idx="2">
                  <c:v>0.53110465297440124</c:v>
                </c:pt>
                <c:pt idx="3">
                  <c:v>0.55782206588711714</c:v>
                </c:pt>
                <c:pt idx="4">
                  <c:v>0.57778814253558941</c:v>
                </c:pt>
                <c:pt idx="5">
                  <c:v>0.56403453506272572</c:v>
                </c:pt>
                <c:pt idx="6">
                  <c:v>0.63622532102272389</c:v>
                </c:pt>
                <c:pt idx="7">
                  <c:v>0.4051080921550182</c:v>
                </c:pt>
                <c:pt idx="8">
                  <c:v>0.16782488651785299</c:v>
                </c:pt>
                <c:pt idx="9">
                  <c:v>0.23635983440119007</c:v>
                </c:pt>
                <c:pt idx="10">
                  <c:v>0.48498938459579122</c:v>
                </c:pt>
                <c:pt idx="11">
                  <c:v>0.50712954167818658</c:v>
                </c:pt>
                <c:pt idx="12">
                  <c:v>0.3817214910186798</c:v>
                </c:pt>
                <c:pt idx="13">
                  <c:v>0.27012660907044317</c:v>
                </c:pt>
                <c:pt idx="14">
                  <c:v>0.34175343292590915</c:v>
                </c:pt>
                <c:pt idx="15">
                  <c:v>0.27568291895382624</c:v>
                </c:pt>
                <c:pt idx="16">
                  <c:v>0.33059184181604517</c:v>
                </c:pt>
                <c:pt idx="17">
                  <c:v>0.38620922698716709</c:v>
                </c:pt>
                <c:pt idx="18">
                  <c:v>0.22290294051585369</c:v>
                </c:pt>
                <c:pt idx="19">
                  <c:v>0.41016407108188752</c:v>
                </c:pt>
                <c:pt idx="20">
                  <c:v>0.41419099293341993</c:v>
                </c:pt>
                <c:pt idx="21">
                  <c:v>0.45603448355359322</c:v>
                </c:pt>
                <c:pt idx="22">
                  <c:v>0.25027884655940835</c:v>
                </c:pt>
                <c:pt idx="23">
                  <c:v>0.37453303740100824</c:v>
                </c:pt>
                <c:pt idx="24">
                  <c:v>0.47970258943144717</c:v>
                </c:pt>
                <c:pt idx="25">
                  <c:v>0.45114032390985914</c:v>
                </c:pt>
                <c:pt idx="26">
                  <c:v>0.59592232239674314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7-42CB-8EB1-6DDCE306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707584"/>
        <c:axId val="404707976"/>
      </c:barChart>
      <c:catAx>
        <c:axId val="40470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7976"/>
        <c:crosses val="autoZero"/>
        <c:auto val="1"/>
        <c:lblAlgn val="ctr"/>
        <c:lblOffset val="100"/>
        <c:noMultiLvlLbl val="0"/>
      </c:catAx>
      <c:valAx>
        <c:axId val="404707976"/>
        <c:scaling>
          <c:orientation val="minMax"/>
          <c:max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Percentual de assentos comercializados a menos de R$ 300,00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out"/>
        <c:minorTickMark val="none"/>
        <c:tickLblPos val="nextTo"/>
        <c:crossAx val="404707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9176578282828278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6.30'!$C$5</c:f>
              <c:strCache>
                <c:ptCount val="1"/>
                <c:pt idx="0">
                  <c:v>Distância direta média (km)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6.30'!$A$6:$B$32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6.30'!$C$6:$C$32</c:f>
              <c:numCache>
                <c:formatCode>#,##0_);\(#,##0\)</c:formatCode>
                <c:ptCount val="27"/>
                <c:pt idx="0">
                  <c:v>899.39477212689883</c:v>
                </c:pt>
                <c:pt idx="1">
                  <c:v>1243.4112503043475</c:v>
                </c:pt>
                <c:pt idx="2">
                  <c:v>958.35667622568042</c:v>
                </c:pt>
                <c:pt idx="3">
                  <c:v>1080.8161718731426</c:v>
                </c:pt>
                <c:pt idx="4">
                  <c:v>983.01833615186217</c:v>
                </c:pt>
                <c:pt idx="5">
                  <c:v>808.43947562183428</c:v>
                </c:pt>
                <c:pt idx="6">
                  <c:v>853.80662153750745</c:v>
                </c:pt>
                <c:pt idx="7">
                  <c:v>1244.0610254729459</c:v>
                </c:pt>
                <c:pt idx="8">
                  <c:v>2365.1631871519494</c:v>
                </c:pt>
                <c:pt idx="9">
                  <c:v>1920.0597391837089</c:v>
                </c:pt>
                <c:pt idx="10">
                  <c:v>1598.9294225811504</c:v>
                </c:pt>
                <c:pt idx="11">
                  <c:v>1189.7177234526414</c:v>
                </c:pt>
                <c:pt idx="12">
                  <c:v>1963.740894011667</c:v>
                </c:pt>
                <c:pt idx="13">
                  <c:v>2232.4309282471613</c:v>
                </c:pt>
                <c:pt idx="14">
                  <c:v>1525.1860339110901</c:v>
                </c:pt>
                <c:pt idx="15">
                  <c:v>1907.9346474615515</c:v>
                </c:pt>
                <c:pt idx="16">
                  <c:v>1601.187460847786</c:v>
                </c:pt>
                <c:pt idx="17">
                  <c:v>1672.9566396175451</c:v>
                </c:pt>
                <c:pt idx="18">
                  <c:v>2020.3810513256653</c:v>
                </c:pt>
                <c:pt idx="19">
                  <c:v>1632.8257921077375</c:v>
                </c:pt>
                <c:pt idx="20">
                  <c:v>1701.2347106837119</c:v>
                </c:pt>
                <c:pt idx="21">
                  <c:v>1212.3651332318134</c:v>
                </c:pt>
                <c:pt idx="22">
                  <c:v>1796.0219520092974</c:v>
                </c:pt>
                <c:pt idx="23">
                  <c:v>1321.6372550175606</c:v>
                </c:pt>
                <c:pt idx="24">
                  <c:v>1113.4062235334363</c:v>
                </c:pt>
                <c:pt idx="25">
                  <c:v>1020.4828831822367</c:v>
                </c:pt>
                <c:pt idx="26">
                  <c:v>1115.27994420051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3-46D2-B552-A93D0F4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709152"/>
        <c:axId val="404699352"/>
      </c:barChart>
      <c:catAx>
        <c:axId val="40470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699352"/>
        <c:crosses val="autoZero"/>
        <c:auto val="1"/>
        <c:lblAlgn val="ctr"/>
        <c:lblOffset val="100"/>
        <c:noMultiLvlLbl val="0"/>
      </c:catAx>
      <c:valAx>
        <c:axId val="404699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Distância Média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_);\(#,##0\)" sourceLinked="1"/>
        <c:majorTickMark val="none"/>
        <c:minorTickMark val="none"/>
        <c:tickLblPos val="nextTo"/>
        <c:crossAx val="404709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9377020202020185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6.31'!$C$5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6.31'!$A$6:$B$32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6.31'!$C$6:$C$32</c:f>
              <c:numCache>
                <c:formatCode>0.000</c:formatCode>
                <c:ptCount val="27"/>
                <c:pt idx="0">
                  <c:v>0.38693515567030767</c:v>
                </c:pt>
                <c:pt idx="1">
                  <c:v>0.30145317629528207</c:v>
                </c:pt>
                <c:pt idx="2">
                  <c:v>0.37880840163918678</c:v>
                </c:pt>
                <c:pt idx="3">
                  <c:v>0.3228227473352917</c:v>
                </c:pt>
                <c:pt idx="4">
                  <c:v>0.33585248797723233</c:v>
                </c:pt>
                <c:pt idx="5">
                  <c:v>0.43443971455691521</c:v>
                </c:pt>
                <c:pt idx="6">
                  <c:v>0.37204385740428542</c:v>
                </c:pt>
                <c:pt idx="7">
                  <c:v>0.367365013965542</c:v>
                </c:pt>
                <c:pt idx="8">
                  <c:v>0.27342741990971092</c:v>
                </c:pt>
                <c:pt idx="9">
                  <c:v>0.28985949466411293</c:v>
                </c:pt>
                <c:pt idx="10">
                  <c:v>0.25221677345575011</c:v>
                </c:pt>
                <c:pt idx="11">
                  <c:v>0.3412542405669346</c:v>
                </c:pt>
                <c:pt idx="12">
                  <c:v>0.23382462190639211</c:v>
                </c:pt>
                <c:pt idx="13">
                  <c:v>0.2366470866603303</c:v>
                </c:pt>
                <c:pt idx="14">
                  <c:v>0.28360186760397649</c:v>
                </c:pt>
                <c:pt idx="15">
                  <c:v>0.24251806394578435</c:v>
                </c:pt>
                <c:pt idx="16">
                  <c:v>0.29257321691800786</c:v>
                </c:pt>
                <c:pt idx="17">
                  <c:v>0.2490990299725811</c:v>
                </c:pt>
                <c:pt idx="18">
                  <c:v>0.23434028595216863</c:v>
                </c:pt>
                <c:pt idx="19">
                  <c:v>0.26659951972931079</c:v>
                </c:pt>
                <c:pt idx="20">
                  <c:v>0.23243553337384357</c:v>
                </c:pt>
                <c:pt idx="21">
                  <c:v>0.32729928247064854</c:v>
                </c:pt>
                <c:pt idx="22">
                  <c:v>0.27170741685383315</c:v>
                </c:pt>
                <c:pt idx="23">
                  <c:v>0.35435851596576878</c:v>
                </c:pt>
                <c:pt idx="24">
                  <c:v>0.36270802902765453</c:v>
                </c:pt>
                <c:pt idx="25">
                  <c:v>0.4062263225694896</c:v>
                </c:pt>
                <c:pt idx="26">
                  <c:v>0.30990921963733264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B2A-BCB5-477FEB55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701704"/>
        <c:axId val="404700920"/>
      </c:barChart>
      <c:catAx>
        <c:axId val="4047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0920"/>
        <c:crosses val="autoZero"/>
        <c:auto val="1"/>
        <c:lblAlgn val="ctr"/>
        <c:lblOffset val="100"/>
        <c:noMultiLvlLbl val="0"/>
      </c:catAx>
      <c:valAx>
        <c:axId val="404700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Médio Real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crossAx val="404701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6.32'!$C$5</c:f>
              <c:strCache>
                <c:ptCount val="1"/>
                <c:pt idx="0">
                  <c:v>Var % com relação a 2017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6.32'!$A$6:$B$32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6.32'!$C$6:$C$32</c:f>
              <c:numCache>
                <c:formatCode>0.0%</c:formatCode>
                <c:ptCount val="27"/>
                <c:pt idx="0">
                  <c:v>3.7856512432821489E-2</c:v>
                </c:pt>
                <c:pt idx="1">
                  <c:v>5.0905176682267735E-3</c:v>
                </c:pt>
                <c:pt idx="2">
                  <c:v>3.2288657840908043E-2</c:v>
                </c:pt>
                <c:pt idx="3">
                  <c:v>-3.7971393439795831E-2</c:v>
                </c:pt>
                <c:pt idx="4">
                  <c:v>5.4851698601555691E-2</c:v>
                </c:pt>
                <c:pt idx="5">
                  <c:v>1.5181804729787666E-2</c:v>
                </c:pt>
                <c:pt idx="6">
                  <c:v>-2.0755323767868074E-2</c:v>
                </c:pt>
                <c:pt idx="7">
                  <c:v>6.2658236965887681E-2</c:v>
                </c:pt>
                <c:pt idx="8">
                  <c:v>1.4014462593089555E-2</c:v>
                </c:pt>
                <c:pt idx="9">
                  <c:v>-8.8078395386392255E-2</c:v>
                </c:pt>
                <c:pt idx="10">
                  <c:v>-0.11825279892371812</c:v>
                </c:pt>
                <c:pt idx="11">
                  <c:v>1.9149904155001565E-3</c:v>
                </c:pt>
                <c:pt idx="12">
                  <c:v>-2.5254602195413211E-2</c:v>
                </c:pt>
                <c:pt idx="13">
                  <c:v>-0.17314047925514087</c:v>
                </c:pt>
                <c:pt idx="14">
                  <c:v>4.7399312671479461E-2</c:v>
                </c:pt>
                <c:pt idx="15">
                  <c:v>6.450034253090304E-4</c:v>
                </c:pt>
                <c:pt idx="16">
                  <c:v>2.2106238537922943E-2</c:v>
                </c:pt>
                <c:pt idx="17">
                  <c:v>1.5497831050984465E-2</c:v>
                </c:pt>
                <c:pt idx="18">
                  <c:v>-2.472040748096754E-2</c:v>
                </c:pt>
                <c:pt idx="19">
                  <c:v>4.7293216882831959E-2</c:v>
                </c:pt>
                <c:pt idx="20">
                  <c:v>-2.7746147020335774E-2</c:v>
                </c:pt>
                <c:pt idx="21">
                  <c:v>4.1898960920841069E-2</c:v>
                </c:pt>
                <c:pt idx="22">
                  <c:v>2.8317256299905544E-2</c:v>
                </c:pt>
                <c:pt idx="23">
                  <c:v>-5.0132682470924221E-2</c:v>
                </c:pt>
                <c:pt idx="24">
                  <c:v>2.7736100478290095E-2</c:v>
                </c:pt>
                <c:pt idx="25">
                  <c:v>2.3986098520579972E-2</c:v>
                </c:pt>
                <c:pt idx="26">
                  <c:v>-7.7695140640096472E-2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4A-4F07-9268-D3C948B6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4700528"/>
        <c:axId val="404702488"/>
      </c:barChart>
      <c:catAx>
        <c:axId val="4047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702488"/>
        <c:crosses val="autoZero"/>
        <c:auto val="1"/>
        <c:lblAlgn val="ctr"/>
        <c:lblOffset val="100"/>
        <c:noMultiLvlLbl val="0"/>
      </c:catAx>
      <c:valAx>
        <c:axId val="404702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Variação do Yield Tarifa Aérea Médio Real (R$) 2017/2016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crossAx val="404700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6.33'!$C$5</c:f>
              <c:strCache>
                <c:ptCount val="1"/>
                <c:pt idx="0">
                  <c:v>Var % com relação a 2011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6.33'!$A$6:$B$32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6.33'!$C$6:$C$32</c:f>
              <c:numCache>
                <c:formatCode>0.0%</c:formatCode>
                <c:ptCount val="27"/>
                <c:pt idx="0">
                  <c:v>-0.24101880831693245</c:v>
                </c:pt>
                <c:pt idx="1">
                  <c:v>-0.11025370454974752</c:v>
                </c:pt>
                <c:pt idx="2">
                  <c:v>-0.15671289636988547</c:v>
                </c:pt>
                <c:pt idx="3">
                  <c:v>-0.23025745612303339</c:v>
                </c:pt>
                <c:pt idx="4">
                  <c:v>-0.24391219591992988</c:v>
                </c:pt>
                <c:pt idx="5">
                  <c:v>-4.2707803928693888E-2</c:v>
                </c:pt>
                <c:pt idx="6">
                  <c:v>-0.25289497716586867</c:v>
                </c:pt>
                <c:pt idx="7">
                  <c:v>-0.21510838981130725</c:v>
                </c:pt>
                <c:pt idx="8">
                  <c:v>-0.27551879646903887</c:v>
                </c:pt>
                <c:pt idx="9">
                  <c:v>-0.21124051453627091</c:v>
                </c:pt>
                <c:pt idx="10">
                  <c:v>-0.41444040475823363</c:v>
                </c:pt>
                <c:pt idx="11">
                  <c:v>-0.35122380725154567</c:v>
                </c:pt>
                <c:pt idx="12">
                  <c:v>-0.29946820792875867</c:v>
                </c:pt>
                <c:pt idx="13">
                  <c:v>-0.39112910224143133</c:v>
                </c:pt>
                <c:pt idx="14">
                  <c:v>-0.29379169802476268</c:v>
                </c:pt>
                <c:pt idx="15">
                  <c:v>-0.21234313757886289</c:v>
                </c:pt>
                <c:pt idx="16">
                  <c:v>-0.20229480347722151</c:v>
                </c:pt>
                <c:pt idx="17">
                  <c:v>-0.25079189712828892</c:v>
                </c:pt>
                <c:pt idx="18">
                  <c:v>-0.16709639887855932</c:v>
                </c:pt>
                <c:pt idx="19">
                  <c:v>-0.27669912746570813</c:v>
                </c:pt>
                <c:pt idx="20">
                  <c:v>-0.23753385708090466</c:v>
                </c:pt>
                <c:pt idx="21">
                  <c:v>-2.697823918025891E-2</c:v>
                </c:pt>
                <c:pt idx="22">
                  <c:v>-0.13989194183659387</c:v>
                </c:pt>
                <c:pt idx="23">
                  <c:v>-0.11169112241813359</c:v>
                </c:pt>
                <c:pt idx="24">
                  <c:v>-0.11861880742889176</c:v>
                </c:pt>
                <c:pt idx="25">
                  <c:v>-0.13256428503294543</c:v>
                </c:pt>
                <c:pt idx="26">
                  <c:v>-0.19686722554396394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600-43C6-9C03-9AE0D0B5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7855688"/>
        <c:axId val="407857648"/>
      </c:barChart>
      <c:catAx>
        <c:axId val="40785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7857648"/>
        <c:crosses val="autoZero"/>
        <c:auto val="1"/>
        <c:lblAlgn val="ctr"/>
        <c:lblOffset val="100"/>
        <c:noMultiLvlLbl val="0"/>
      </c:catAx>
      <c:valAx>
        <c:axId val="407857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Variação do Yield Tarifa Aérea Médio Real (R$) 2017/2011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crossAx val="407855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6.34'!$C$5</c:f>
              <c:strCache>
                <c:ptCount val="1"/>
                <c:pt idx="0">
                  <c:v>Percentual de assentos com Yield inferior a R$ 0,10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6.34'!$A$6:$B$32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6.34'!$C$6:$C$32</c:f>
              <c:numCache>
                <c:formatCode>0.0%</c:formatCode>
                <c:ptCount val="27"/>
                <c:pt idx="0">
                  <c:v>1.2807112499788949E-2</c:v>
                </c:pt>
                <c:pt idx="1">
                  <c:v>5.4456366823637713E-2</c:v>
                </c:pt>
                <c:pt idx="2">
                  <c:v>1.4152962711464084E-2</c:v>
                </c:pt>
                <c:pt idx="3">
                  <c:v>4.0720855910103312E-2</c:v>
                </c:pt>
                <c:pt idx="4">
                  <c:v>4.1152263854536394E-2</c:v>
                </c:pt>
                <c:pt idx="5">
                  <c:v>5.5725295126700007E-3</c:v>
                </c:pt>
                <c:pt idx="6">
                  <c:v>2.2444424882945388E-2</c:v>
                </c:pt>
                <c:pt idx="7">
                  <c:v>4.046156324060652E-2</c:v>
                </c:pt>
                <c:pt idx="8">
                  <c:v>1.8099256251060618E-2</c:v>
                </c:pt>
                <c:pt idx="9">
                  <c:v>3.3012021220178621E-2</c:v>
                </c:pt>
                <c:pt idx="10">
                  <c:v>0.13843950035427099</c:v>
                </c:pt>
                <c:pt idx="11">
                  <c:v>2.990490662087995E-2</c:v>
                </c:pt>
                <c:pt idx="12" formatCode="0.00%">
                  <c:v>0.13086730653937084</c:v>
                </c:pt>
                <c:pt idx="13">
                  <c:v>5.0842166435333049E-2</c:v>
                </c:pt>
                <c:pt idx="14">
                  <c:v>1.2937178313982563E-2</c:v>
                </c:pt>
                <c:pt idx="15">
                  <c:v>4.3555041873018535E-2</c:v>
                </c:pt>
                <c:pt idx="16">
                  <c:v>2.7035117293967514E-2</c:v>
                </c:pt>
                <c:pt idx="17">
                  <c:v>4.3438944409404122E-2</c:v>
                </c:pt>
                <c:pt idx="18">
                  <c:v>5.4080752444144294E-2</c:v>
                </c:pt>
                <c:pt idx="19" formatCode="0.00%">
                  <c:v>7.1615367376964528E-2</c:v>
                </c:pt>
                <c:pt idx="20">
                  <c:v>7.2011496236425873E-2</c:v>
                </c:pt>
                <c:pt idx="21">
                  <c:v>1.8003361986135266E-2</c:v>
                </c:pt>
                <c:pt idx="22">
                  <c:v>1.8670043737761047E-2</c:v>
                </c:pt>
                <c:pt idx="23">
                  <c:v>2.681778050054956E-2</c:v>
                </c:pt>
                <c:pt idx="24">
                  <c:v>1.0515720970966449E-2</c:v>
                </c:pt>
                <c:pt idx="25">
                  <c:v>1.1763187277737978E-2</c:v>
                </c:pt>
                <c:pt idx="26">
                  <c:v>7.8095148454178059E-2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C-4C59-8595-77FB0601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7862744"/>
        <c:axId val="407861176"/>
      </c:barChart>
      <c:catAx>
        <c:axId val="40786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7861176"/>
        <c:crosses val="autoZero"/>
        <c:auto val="1"/>
        <c:lblAlgn val="ctr"/>
        <c:lblOffset val="100"/>
        <c:noMultiLvlLbl val="0"/>
      </c:catAx>
      <c:valAx>
        <c:axId val="407861176"/>
        <c:scaling>
          <c:orientation val="minMax"/>
          <c:max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Percentual de assentos comercializados com Yield menor que R$ 0,10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out"/>
        <c:minorTickMark val="none"/>
        <c:tickLblPos val="nextTo"/>
        <c:crossAx val="407862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5684974747475"/>
          <c:y val="1.9896736392799378E-2"/>
          <c:w val="0.88775694444444442"/>
          <c:h val="0.9556385376070415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 6.35'!$C$5</c:f>
              <c:strCache>
                <c:ptCount val="1"/>
                <c:pt idx="0">
                  <c:v>Percentual de assentos com Yield inferior a R$ 0,30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6.35'!$A$6:$B$32</c:f>
              <c:multiLvlStrCache>
                <c:ptCount val="27"/>
                <c:lvl>
                  <c:pt idx="0">
                    <c:v>SC</c:v>
                  </c:pt>
                  <c:pt idx="1">
                    <c:v>RS</c:v>
                  </c:pt>
                  <c:pt idx="2">
                    <c:v>PR</c:v>
                  </c:pt>
                  <c:pt idx="3">
                    <c:v>SP</c:v>
                  </c:pt>
                  <c:pt idx="4">
                    <c:v>RJ</c:v>
                  </c:pt>
                  <c:pt idx="5">
                    <c:v>MG</c:v>
                  </c:pt>
                  <c:pt idx="6">
                    <c:v>ES</c:v>
                  </c:pt>
                  <c:pt idx="7">
                    <c:v>TO</c:v>
                  </c:pt>
                  <c:pt idx="8">
                    <c:v>RR</c:v>
                  </c:pt>
                  <c:pt idx="9">
                    <c:v>RO</c:v>
                  </c:pt>
                  <c:pt idx="10">
                    <c:v>PA</c:v>
                  </c:pt>
                  <c:pt idx="11">
                    <c:v>AP</c:v>
                  </c:pt>
                  <c:pt idx="12">
                    <c:v>AM</c:v>
                  </c:pt>
                  <c:pt idx="13">
                    <c:v>AC</c:v>
                  </c:pt>
                  <c:pt idx="14">
                    <c:v>SE</c:v>
                  </c:pt>
                  <c:pt idx="15">
                    <c:v>RN</c:v>
                  </c:pt>
                  <c:pt idx="16">
                    <c:v>PI</c:v>
                  </c:pt>
                  <c:pt idx="17">
                    <c:v>PE</c:v>
                  </c:pt>
                  <c:pt idx="18">
                    <c:v>PB</c:v>
                  </c:pt>
                  <c:pt idx="19">
                    <c:v>MA</c:v>
                  </c:pt>
                  <c:pt idx="20">
                    <c:v>CE</c:v>
                  </c:pt>
                  <c:pt idx="21">
                    <c:v>BA</c:v>
                  </c:pt>
                  <c:pt idx="22">
                    <c:v>AL</c:v>
                  </c:pt>
                  <c:pt idx="23">
                    <c:v>MT</c:v>
                  </c:pt>
                  <c:pt idx="24">
                    <c:v>MS</c:v>
                  </c:pt>
                  <c:pt idx="25">
                    <c:v>GO</c:v>
                  </c:pt>
                  <c:pt idx="26">
                    <c:v>DF</c:v>
                  </c:pt>
                </c:lvl>
                <c:lvl>
                  <c:pt idx="0">
                    <c:v>SUL</c:v>
                  </c:pt>
                  <c:pt idx="3">
                    <c:v>SUDESTE</c:v>
                  </c:pt>
                  <c:pt idx="7">
                    <c:v>NORTE</c:v>
                  </c:pt>
                  <c:pt idx="14">
                    <c:v>NORDESTE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'Fig 6.35'!$C$6:$C$32</c:f>
              <c:numCache>
                <c:formatCode>0.0%</c:formatCode>
                <c:ptCount val="27"/>
                <c:pt idx="0">
                  <c:v>0.41617222097095385</c:v>
                </c:pt>
                <c:pt idx="1">
                  <c:v>0.58346461054766785</c:v>
                </c:pt>
                <c:pt idx="2">
                  <c:v>0.44800008672610792</c:v>
                </c:pt>
                <c:pt idx="3">
                  <c:v>0.54568341497432182</c:v>
                </c:pt>
                <c:pt idx="4">
                  <c:v>0.49554545527718286</c:v>
                </c:pt>
                <c:pt idx="5">
                  <c:v>0.42165571326206386</c:v>
                </c:pt>
                <c:pt idx="6">
                  <c:v>0.51644932443963787</c:v>
                </c:pt>
                <c:pt idx="7">
                  <c:v>0.53190676698649364</c:v>
                </c:pt>
                <c:pt idx="8">
                  <c:v>0.67121147398049053</c:v>
                </c:pt>
                <c:pt idx="9">
                  <c:v>0.61020858679555845</c:v>
                </c:pt>
                <c:pt idx="10">
                  <c:v>0.6347300333653787</c:v>
                </c:pt>
                <c:pt idx="11">
                  <c:v>0.33485102402979794</c:v>
                </c:pt>
                <c:pt idx="12">
                  <c:v>0.7117751942807371</c:v>
                </c:pt>
                <c:pt idx="13">
                  <c:v>0.74654800612833982</c:v>
                </c:pt>
                <c:pt idx="14">
                  <c:v>0.63788827693657957</c:v>
                </c:pt>
                <c:pt idx="15">
                  <c:v>0.73295969385668691</c:v>
                </c:pt>
                <c:pt idx="16">
                  <c:v>0.63397980243568131</c:v>
                </c:pt>
                <c:pt idx="17">
                  <c:v>0.68082261063268723</c:v>
                </c:pt>
                <c:pt idx="18">
                  <c:v>0.76981094091801272</c:v>
                </c:pt>
                <c:pt idx="19">
                  <c:v>0.67183751814718473</c:v>
                </c:pt>
                <c:pt idx="20">
                  <c:v>0.74427619833517933</c:v>
                </c:pt>
                <c:pt idx="21">
                  <c:v>0.55860400118766818</c:v>
                </c:pt>
                <c:pt idx="22">
                  <c:v>0.66340685498528384</c:v>
                </c:pt>
                <c:pt idx="23">
                  <c:v>0.50750968485918668</c:v>
                </c:pt>
                <c:pt idx="24">
                  <c:v>0.53247767774108623</c:v>
                </c:pt>
                <c:pt idx="25">
                  <c:v>0.45717724811379817</c:v>
                </c:pt>
                <c:pt idx="26">
                  <c:v>0.65662586663355671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B-4FBE-8AC7-646F020E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07858432"/>
        <c:axId val="407861568"/>
      </c:barChart>
      <c:catAx>
        <c:axId val="40785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7861568"/>
        <c:crosses val="autoZero"/>
        <c:auto val="1"/>
        <c:lblAlgn val="ctr"/>
        <c:lblOffset val="100"/>
        <c:noMultiLvlLbl val="0"/>
      </c:catAx>
      <c:valAx>
        <c:axId val="407861568"/>
        <c:scaling>
          <c:orientation val="minMax"/>
          <c:max val="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Percentual de assentos comercializados com Yield menor que R$ 0,30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%" sourceLinked="1"/>
        <c:majorTickMark val="out"/>
        <c:minorTickMark val="none"/>
        <c:tickLblPos val="nextTo"/>
        <c:crossAx val="407858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63A-4165-94F1-9F71FAB6CD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63A-4165-94F1-9F71FAB6CD4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E63A-4165-94F1-9F71FAB6CD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7-E63A-4165-94F1-9F71FAB6CD45}"/>
              </c:ext>
            </c:extLst>
          </c:dPt>
          <c:dPt>
            <c:idx val="4"/>
            <c:invertIfNegative val="0"/>
            <c:bubble3D val="0"/>
            <c:spPr>
              <a:solidFill>
                <a:srgbClr val="DDE20E"/>
              </a:solidFill>
            </c:spPr>
            <c:extLst>
              <c:ext xmlns:c16="http://schemas.microsoft.com/office/drawing/2014/chart" uri="{C3380CC4-5D6E-409C-BE32-E72D297353CC}">
                <c16:uniqueId val="{00000009-E63A-4165-94F1-9F71FAB6CD45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2.12'!$A$6:$A$10</c:f>
              <c:strCache>
                <c:ptCount val="5"/>
                <c:pt idx="0">
                  <c:v> Centro-Oeste </c:v>
                </c:pt>
                <c:pt idx="1">
                  <c:v> Nordeste </c:v>
                </c:pt>
                <c:pt idx="2">
                  <c:v> Norte </c:v>
                </c:pt>
                <c:pt idx="3">
                  <c:v> Sudeste </c:v>
                </c:pt>
                <c:pt idx="4">
                  <c:v> Sul </c:v>
                </c:pt>
              </c:strCache>
            </c:strRef>
          </c:cat>
          <c:val>
            <c:numRef>
              <c:f>'Fig 2.12'!$B$6:$B$10</c:f>
              <c:numCache>
                <c:formatCode>_(* #,##0.0_);_(* \(#,##0.0\);_(* "-"??_);_(@_)</c:formatCode>
                <c:ptCount val="5"/>
                <c:pt idx="0">
                  <c:v>6.6653199719549887</c:v>
                </c:pt>
                <c:pt idx="1">
                  <c:v>2.4922730940821261</c:v>
                </c:pt>
                <c:pt idx="2">
                  <c:v>2.7456204354534162</c:v>
                </c:pt>
                <c:pt idx="3">
                  <c:v>4.7066974826392176</c:v>
                </c:pt>
                <c:pt idx="4">
                  <c:v>3.672092796384733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3A-4165-94F1-9F71FAB6C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88712"/>
        <c:axId val="134591248"/>
      </c:barChart>
      <c:catAx>
        <c:axId val="13258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91248"/>
        <c:crosses val="autoZero"/>
        <c:auto val="1"/>
        <c:lblAlgn val="ctr"/>
        <c:lblOffset val="100"/>
        <c:noMultiLvlLbl val="0"/>
      </c:catAx>
      <c:valAx>
        <c:axId val="13459124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Decolagens / Mil habitantes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588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9188283915764"/>
          <c:y val="4.1237113402061855E-2"/>
          <c:w val="0.83275471485284391"/>
          <c:h val="0.34270747084449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7.1'!$A$6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7.1'!$H$6</c:f>
              <c:numCache>
                <c:formatCode>#,##0</c:formatCode>
                <c:ptCount val="1"/>
                <c:pt idx="0">
                  <c:v>16523791.066620002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4-4CC2-AB68-4A61F08C24E3}"/>
            </c:ext>
          </c:extLst>
        </c:ser>
        <c:ser>
          <c:idx val="1"/>
          <c:order val="1"/>
          <c:tx>
            <c:strRef>
              <c:f>'Fig 7.1'!$A$7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7.1'!$H$7</c:f>
              <c:numCache>
                <c:formatCode>#,##0</c:formatCode>
                <c:ptCount val="1"/>
                <c:pt idx="0">
                  <c:v>20955010.867489997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4-4CC2-AB68-4A61F08C24E3}"/>
            </c:ext>
          </c:extLst>
        </c:ser>
        <c:ser>
          <c:idx val="2"/>
          <c:order val="2"/>
          <c:tx>
            <c:strRef>
              <c:f>'Fig 7.1'!$A$8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7.1'!$H$8</c:f>
              <c:numCache>
                <c:formatCode>#,##0</c:formatCode>
                <c:ptCount val="1"/>
                <c:pt idx="0">
                  <c:v>24352187.462680001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4-4CC2-AB68-4A61F08C24E3}"/>
            </c:ext>
          </c:extLst>
        </c:ser>
        <c:ser>
          <c:idx val="3"/>
          <c:order val="3"/>
          <c:tx>
            <c:strRef>
              <c:f>'Fig 7.1'!$A$9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7.1'!$H$9</c:f>
              <c:numCache>
                <c:formatCode>#,##0</c:formatCode>
                <c:ptCount val="1"/>
                <c:pt idx="0">
                  <c:v>26538498.21833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4-4CC2-AB68-4A61F08C24E3}"/>
            </c:ext>
          </c:extLst>
        </c:ser>
        <c:ser>
          <c:idx val="4"/>
          <c:order val="4"/>
          <c:tx>
            <c:strRef>
              <c:f>'Fig 7.1'!$A$10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7.1'!$H$10</c:f>
              <c:numCache>
                <c:formatCode>#,##0</c:formatCode>
                <c:ptCount val="1"/>
                <c:pt idx="0">
                  <c:v>30996402.687319998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4-4CC2-AB68-4A61F08C24E3}"/>
            </c:ext>
          </c:extLst>
        </c:ser>
        <c:ser>
          <c:idx val="5"/>
          <c:order val="5"/>
          <c:tx>
            <c:strRef>
              <c:f>'Fig 7.1'!$A$11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7.1'!$H$11</c:f>
              <c:numCache>
                <c:formatCode>#,##0</c:formatCode>
                <c:ptCount val="1"/>
                <c:pt idx="0">
                  <c:v>32658429.12845001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4-4CC2-AB68-4A61F08C24E3}"/>
            </c:ext>
          </c:extLst>
        </c:ser>
        <c:ser>
          <c:idx val="6"/>
          <c:order val="6"/>
          <c:tx>
            <c:strRef>
              <c:f>'Fig 7.1'!$A$12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7.1'!$H$12</c:f>
              <c:numCache>
                <c:formatCode>#,##0</c:formatCode>
                <c:ptCount val="1"/>
                <c:pt idx="0">
                  <c:v>35232615.222230002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44-4CC2-AB68-4A61F08C24E3}"/>
            </c:ext>
          </c:extLst>
        </c:ser>
        <c:ser>
          <c:idx val="7"/>
          <c:order val="7"/>
          <c:tx>
            <c:strRef>
              <c:f>'Fig 7.1'!$A$13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7.1'!$H$13</c:f>
              <c:numCache>
                <c:formatCode>#,##0</c:formatCode>
                <c:ptCount val="1"/>
                <c:pt idx="0">
                  <c:v>35465242.031049997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44-4CC2-AB68-4A61F08C24E3}"/>
            </c:ext>
          </c:extLst>
        </c:ser>
        <c:ser>
          <c:idx val="8"/>
          <c:order val="8"/>
          <c:tx>
            <c:strRef>
              <c:f>'Fig 7.1'!$A$14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7.1'!$H$14</c:f>
              <c:numCache>
                <c:formatCode>#,##0</c:formatCode>
                <c:ptCount val="1"/>
                <c:pt idx="0">
                  <c:v>37778843.2566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4-4712-9D36-7EF6D808981D}"/>
            </c:ext>
          </c:extLst>
        </c:ser>
        <c:ser>
          <c:idx val="9"/>
          <c:order val="9"/>
          <c:tx>
            <c:strRef>
              <c:f>'Fig 7.1'!$A$15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7.1'!$H$15</c:f>
              <c:numCache>
                <c:formatCode>#,##0</c:formatCode>
                <c:ptCount val="1"/>
                <c:pt idx="0">
                  <c:v>43160092.465429999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42BA-8DD9-238607B6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54120"/>
        <c:axId val="407856472"/>
        <c:extLst/>
      </c:barChart>
      <c:catAx>
        <c:axId val="4078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6472"/>
        <c:crosses val="autoZero"/>
        <c:auto val="1"/>
        <c:lblAlgn val="ctr"/>
        <c:lblOffset val="100"/>
        <c:noMultiLvlLbl val="0"/>
      </c:catAx>
      <c:valAx>
        <c:axId val="4078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4120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r>
                    <a:rPr lang="en-US"/>
                    <a:t>Bilhões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910405936100096E-2"/>
          <c:y val="4.4689123403143072E-2"/>
          <c:w val="0.95371057565172779"/>
          <c:h val="0.77561037235491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7.2'!$B$5</c:f>
              <c:strCache>
                <c:ptCount val="1"/>
                <c:pt idx="0">
                  <c:v>Variação % da receita de voo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7.2'!$A$6:$A$14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 7.2'!$B$6:$B$14</c:f>
              <c:numCache>
                <c:formatCode>0.0%</c:formatCode>
                <c:ptCount val="9"/>
                <c:pt idx="0">
                  <c:v>0.26817210306063366</c:v>
                </c:pt>
                <c:pt idx="1">
                  <c:v>0.1621176250717411</c:v>
                </c:pt>
                <c:pt idx="2">
                  <c:v>8.9778824140564151E-2</c:v>
                </c:pt>
                <c:pt idx="3">
                  <c:v>0.16797877680625306</c:v>
                </c:pt>
                <c:pt idx="4">
                  <c:v>5.361997835348542E-2</c:v>
                </c:pt>
                <c:pt idx="5">
                  <c:v>7.8821491494749152E-2</c:v>
                </c:pt>
                <c:pt idx="6">
                  <c:v>6.6025983978963421E-3</c:v>
                </c:pt>
                <c:pt idx="7">
                  <c:v>6.5235737670264138E-2</c:v>
                </c:pt>
                <c:pt idx="8">
                  <c:v>0.14244081461890423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A-41EB-A976-FB6C5E9D81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852160"/>
        <c:axId val="407861960"/>
      </c:barChart>
      <c:catAx>
        <c:axId val="407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7861960"/>
        <c:crosses val="autoZero"/>
        <c:auto val="1"/>
        <c:lblAlgn val="ctr"/>
        <c:lblOffset val="100"/>
        <c:noMultiLvlLbl val="0"/>
      </c:catAx>
      <c:valAx>
        <c:axId val="4078619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7852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9892473118279563E-2"/>
          <c:w val="0.64793032861271171"/>
          <c:h val="0.9018821437642875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3.5924861466880682E-2"/>
                  <c:y val="5.88014610061854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EA-45CE-9E78-B2A9794CC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7.3'!$A$6:$A$11</c:f>
              <c:strCache>
                <c:ptCount val="6"/>
                <c:pt idx="0">
                  <c:v>Passagens</c:v>
                </c:pt>
                <c:pt idx="1">
                  <c:v>Bagagem</c:v>
                </c:pt>
                <c:pt idx="2">
                  <c:v>Carga e Mala Postal</c:v>
                </c:pt>
                <c:pt idx="3">
                  <c:v>Receitas Auxiliares</c:v>
                </c:pt>
                <c:pt idx="4">
                  <c:v>Penalidades do Contrato de Transporte Aéreo</c:v>
                </c:pt>
                <c:pt idx="5">
                  <c:v>Outras</c:v>
                </c:pt>
              </c:strCache>
            </c:strRef>
          </c:cat>
          <c:val>
            <c:numRef>
              <c:f>'Fig 7.3'!$B$6:$B$11</c:f>
              <c:numCache>
                <c:formatCode>0.0%</c:formatCode>
                <c:ptCount val="6"/>
                <c:pt idx="0">
                  <c:v>0.8349108433016651</c:v>
                </c:pt>
                <c:pt idx="1">
                  <c:v>1.7492296175099918E-2</c:v>
                </c:pt>
                <c:pt idx="2">
                  <c:v>7.2165012670321424E-2</c:v>
                </c:pt>
                <c:pt idx="3">
                  <c:v>1.5541782802418217E-2</c:v>
                </c:pt>
                <c:pt idx="4">
                  <c:v>3.3244909920183245E-2</c:v>
                </c:pt>
                <c:pt idx="5">
                  <c:v>2.6645155130312178E-2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A-45CE-9E78-B2A9794CC6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82118298050988"/>
          <c:y val="4.593514520362374E-2"/>
          <c:w val="0.2597617119868435"/>
          <c:h val="0.94038735077470159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7.4'!$A$6</c:f>
              <c:strCache>
                <c:ptCount val="1"/>
                <c:pt idx="0">
                  <c:v>Passageiros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7.4'!$B$6:$K$6</c:f>
              <c:numCache>
                <c:formatCode>0.0%</c:formatCode>
                <c:ptCount val="10"/>
                <c:pt idx="0">
                  <c:v>0.88637103267766826</c:v>
                </c:pt>
                <c:pt idx="1">
                  <c:v>0.86796825092501628</c:v>
                </c:pt>
                <c:pt idx="2">
                  <c:v>0.86614934770704632</c:v>
                </c:pt>
                <c:pt idx="3">
                  <c:v>0.87197388003804677</c:v>
                </c:pt>
                <c:pt idx="4">
                  <c:v>0.86237426217478141</c:v>
                </c:pt>
                <c:pt idx="5">
                  <c:v>0.87969460393343535</c:v>
                </c:pt>
                <c:pt idx="6">
                  <c:v>0.82368009590215108</c:v>
                </c:pt>
                <c:pt idx="7">
                  <c:v>0.83858011512643582</c:v>
                </c:pt>
                <c:pt idx="8">
                  <c:v>0.84340813594612929</c:v>
                </c:pt>
                <c:pt idx="9">
                  <c:v>0.8349108433016651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08B-B97C-648599C61428}"/>
            </c:ext>
          </c:extLst>
        </c:ser>
        <c:ser>
          <c:idx val="1"/>
          <c:order val="1"/>
          <c:tx>
            <c:strRef>
              <c:f>'Fig 7.4'!$A$7</c:f>
              <c:strCache>
                <c:ptCount val="1"/>
                <c:pt idx="0">
                  <c:v>Bagagem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7.4'!$B$7:$K$7</c:f>
              <c:numCache>
                <c:formatCode>0.0%</c:formatCode>
                <c:ptCount val="10"/>
                <c:pt idx="0">
                  <c:v>5.9062785783555189E-3</c:v>
                </c:pt>
                <c:pt idx="1">
                  <c:v>5.6166064324307211E-3</c:v>
                </c:pt>
                <c:pt idx="2">
                  <c:v>6.8828082046783852E-3</c:v>
                </c:pt>
                <c:pt idx="3">
                  <c:v>8.9323163695928607E-3</c:v>
                </c:pt>
                <c:pt idx="4">
                  <c:v>7.3084997441548848E-3</c:v>
                </c:pt>
                <c:pt idx="5">
                  <c:v>7.8011155444111108E-3</c:v>
                </c:pt>
                <c:pt idx="6">
                  <c:v>8.1374486623151526E-3</c:v>
                </c:pt>
                <c:pt idx="7">
                  <c:v>7.9660253827485896E-3</c:v>
                </c:pt>
                <c:pt idx="8">
                  <c:v>1.0627572337854945E-2</c:v>
                </c:pt>
                <c:pt idx="9">
                  <c:v>1.7492296175099918E-2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B-408B-B97C-648599C61428}"/>
            </c:ext>
          </c:extLst>
        </c:ser>
        <c:ser>
          <c:idx val="2"/>
          <c:order val="2"/>
          <c:tx>
            <c:strRef>
              <c:f>'Fig 7.4'!$A$8</c:f>
              <c:strCache>
                <c:ptCount val="1"/>
                <c:pt idx="0">
                  <c:v>Carga e Mala Postal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7.4'!$B$8:$K$8</c:f>
              <c:numCache>
                <c:formatCode>0.0%</c:formatCode>
                <c:ptCount val="10"/>
                <c:pt idx="0">
                  <c:v>8.0269900422513141E-2</c:v>
                </c:pt>
                <c:pt idx="1">
                  <c:v>9.525180909911321E-2</c:v>
                </c:pt>
                <c:pt idx="2">
                  <c:v>9.3181939603477079E-2</c:v>
                </c:pt>
                <c:pt idx="3">
                  <c:v>8.1784070910270942E-2</c:v>
                </c:pt>
                <c:pt idx="4">
                  <c:v>0.10172356239099498</c:v>
                </c:pt>
                <c:pt idx="5">
                  <c:v>7.9610680745359999E-2</c:v>
                </c:pt>
                <c:pt idx="6">
                  <c:v>7.4979340319114574E-2</c:v>
                </c:pt>
                <c:pt idx="7">
                  <c:v>8.0659797193731606E-2</c:v>
                </c:pt>
                <c:pt idx="8">
                  <c:v>7.5380586108403091E-2</c:v>
                </c:pt>
                <c:pt idx="9">
                  <c:v>7.2165012670321424E-2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B-408B-B97C-648599C61428}"/>
            </c:ext>
          </c:extLst>
        </c:ser>
        <c:ser>
          <c:idx val="3"/>
          <c:order val="3"/>
          <c:tx>
            <c:strRef>
              <c:f>'Fig 7.4'!$A$9</c:f>
              <c:strCache>
                <c:ptCount val="1"/>
                <c:pt idx="0">
                  <c:v>Receitas Auxiliares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7.4'!$B$9:$K$9</c:f>
              <c:numCache>
                <c:formatCode>0.0%</c:formatCode>
                <c:ptCount val="10"/>
                <c:pt idx="6">
                  <c:v>1.7544587592237086E-2</c:v>
                </c:pt>
                <c:pt idx="7">
                  <c:v>2.1317092102306198E-2</c:v>
                </c:pt>
                <c:pt idx="8">
                  <c:v>2.1493211057174041E-2</c:v>
                </c:pt>
                <c:pt idx="9">
                  <c:v>1.5541782802418217E-2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B-408B-B97C-648599C61428}"/>
            </c:ext>
          </c:extLst>
        </c:ser>
        <c:ser>
          <c:idx val="4"/>
          <c:order val="4"/>
          <c:tx>
            <c:strRef>
              <c:f>'Fig 7.4'!$A$10</c:f>
              <c:strCache>
                <c:ptCount val="1"/>
                <c:pt idx="0">
                  <c:v>Penalidades do Contrato de Transporte Aéreo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7.4'!$B$10:$K$10</c:f>
              <c:numCache>
                <c:formatCode>0.0%</c:formatCode>
                <c:ptCount val="10"/>
                <c:pt idx="6">
                  <c:v>4.6093786243416153E-2</c:v>
                </c:pt>
                <c:pt idx="7">
                  <c:v>3.05578573328954E-2</c:v>
                </c:pt>
                <c:pt idx="8">
                  <c:v>3.1171371403338793E-2</c:v>
                </c:pt>
                <c:pt idx="9">
                  <c:v>3.3244909920183245E-2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B-408B-B97C-648599C61428}"/>
            </c:ext>
          </c:extLst>
        </c:ser>
        <c:ser>
          <c:idx val="5"/>
          <c:order val="5"/>
          <c:tx>
            <c:strRef>
              <c:f>'Fig 7.4'!$A$11</c:f>
              <c:strCache>
                <c:ptCount val="1"/>
                <c:pt idx="0">
                  <c:v>Outras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7.4'!$B$5:$K$5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7.4'!$B$11:$K$11</c:f>
              <c:numCache>
                <c:formatCode>0.0%</c:formatCode>
                <c:ptCount val="10"/>
                <c:pt idx="0">
                  <c:v>2.7452788320857794E-2</c:v>
                </c:pt>
                <c:pt idx="1">
                  <c:v>3.1163333542485534E-2</c:v>
                </c:pt>
                <c:pt idx="2">
                  <c:v>3.378590448479793E-2</c:v>
                </c:pt>
                <c:pt idx="3">
                  <c:v>3.7309732682089473E-2</c:v>
                </c:pt>
                <c:pt idx="4">
                  <c:v>2.859367568974602E-2</c:v>
                </c:pt>
                <c:pt idx="5">
                  <c:v>3.2893599776793202E-2</c:v>
                </c:pt>
                <c:pt idx="6">
                  <c:v>2.9564741280765774E-2</c:v>
                </c:pt>
                <c:pt idx="7">
                  <c:v>2.09188556784109E-2</c:v>
                </c:pt>
                <c:pt idx="8">
                  <c:v>1.7919123147099897E-2</c:v>
                </c:pt>
                <c:pt idx="9">
                  <c:v>2.6645155130312178E-2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8B-408B-B97C-648599C614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7856864"/>
        <c:axId val="407862352"/>
      </c:barChart>
      <c:catAx>
        <c:axId val="4078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2352"/>
        <c:crosses val="autoZero"/>
        <c:auto val="1"/>
        <c:lblAlgn val="ctr"/>
        <c:lblOffset val="100"/>
        <c:noMultiLvlLbl val="0"/>
      </c:catAx>
      <c:valAx>
        <c:axId val="407862352"/>
        <c:scaling>
          <c:orientation val="minMax"/>
          <c:max val="1"/>
          <c:min val="0"/>
        </c:scaling>
        <c:delete val="1"/>
        <c:axPos val="l"/>
        <c:numFmt formatCode="0%" sourceLinked="0"/>
        <c:majorTickMark val="out"/>
        <c:minorTickMark val="none"/>
        <c:tickLblPos val="nextTo"/>
        <c:crossAx val="4078568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5613352385009"/>
          <c:y val="0.1801680648229598"/>
          <c:w val="0.27444785618013967"/>
          <c:h val="0.57612592703841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7.5'!$A$13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7.5'!$B$5:$G$5</c15:sqref>
                  </c15:fullRef>
                </c:ext>
              </c:extLst>
              <c:f>'Fig 7.5'!$B$5:$F$5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7.5'!$B$13:$G$13</c15:sqref>
                  </c15:fullRef>
                </c:ext>
              </c:extLst>
              <c:f>'Fig 7.5'!$B$13:$F$13</c:f>
              <c:numCache>
                <c:formatCode>#,##0</c:formatCode>
                <c:ptCount val="5"/>
                <c:pt idx="0">
                  <c:v>14304643.315880001</c:v>
                </c:pt>
                <c:pt idx="1">
                  <c:v>9605521.8062199969</c:v>
                </c:pt>
                <c:pt idx="2">
                  <c:v>7020909.1792399995</c:v>
                </c:pt>
                <c:pt idx="3">
                  <c:v>3133434.6210000003</c:v>
                </c:pt>
                <c:pt idx="4">
                  <c:v>897054.10079000005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6-4D05-A20C-AF4266D5C5BA}"/>
            </c:ext>
          </c:extLst>
        </c:ser>
        <c:ser>
          <c:idx val="2"/>
          <c:order val="2"/>
          <c:tx>
            <c:strRef>
              <c:f>'Fig 7.5'!$A$14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7.5'!$B$5:$G$5</c15:sqref>
                  </c15:fullRef>
                </c:ext>
              </c:extLst>
              <c:f>'Fig 7.5'!$B$5:$F$5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7.5'!$B$14:$G$14</c15:sqref>
                  </c15:fullRef>
                </c:ext>
              </c:extLst>
              <c:f>'Fig 7.5'!$B$14:$F$14</c:f>
              <c:numCache>
                <c:formatCode>#,##0</c:formatCode>
                <c:ptCount val="5"/>
                <c:pt idx="0">
                  <c:v>14959396.71188</c:v>
                </c:pt>
                <c:pt idx="1">
                  <c:v>10059788.01409</c:v>
                </c:pt>
                <c:pt idx="2">
                  <c:v>8101143.3493800005</c:v>
                </c:pt>
                <c:pt idx="3">
                  <c:v>3728755.3330000001</c:v>
                </c:pt>
                <c:pt idx="4">
                  <c:v>929759.84824999992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6-4D05-A20C-AF4266D5C5BA}"/>
            </c:ext>
          </c:extLst>
        </c:ser>
        <c:ser>
          <c:idx val="3"/>
          <c:order val="3"/>
          <c:tx>
            <c:strRef>
              <c:f>'Fig 7.5'!$A$15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7.5'!$B$5:$G$5</c15:sqref>
                  </c15:fullRef>
                </c:ext>
              </c:extLst>
              <c:f>'Fig 7.5'!$B$5:$F$5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7.5'!$B$15:$G$15</c15:sqref>
                  </c15:fullRef>
                </c:ext>
              </c:extLst>
              <c:f>'Fig 7.5'!$B$15:$F$15</c:f>
              <c:numCache>
                <c:formatCode>#,##0</c:formatCode>
                <c:ptCount val="5"/>
                <c:pt idx="0">
                  <c:v>16444064.329569999</c:v>
                </c:pt>
                <c:pt idx="1">
                  <c:v>11168376.198249999</c:v>
                </c:pt>
                <c:pt idx="2">
                  <c:v>9525013.7333400007</c:v>
                </c:pt>
                <c:pt idx="3">
                  <c:v>4795553.5149999997</c:v>
                </c:pt>
                <c:pt idx="4">
                  <c:v>1227084.68927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6-4D05-A20C-AF4266D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63136"/>
        <c:axId val="407859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7.5'!$A$12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7.5'!$B$5:$G$5</c15:sqref>
                        </c15:fullRef>
                        <c15:formulaRef>
                          <c15:sqref>'Fig 7.5'!$B$5:$F$5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7.5'!$B$12:$G$12</c15:sqref>
                        </c15:fullRef>
                        <c15:formulaRef>
                          <c15:sqref>'Fig 7.5'!$B$12:$F$12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14503764.94105</c:v>
                      </c:pt>
                      <c:pt idx="1">
                        <c:v>9725923.8166599981</c:v>
                      </c:pt>
                      <c:pt idx="2">
                        <c:v>6646715.9492999995</c:v>
                      </c:pt>
                      <c:pt idx="3">
                        <c:v>2778804.301</c:v>
                      </c:pt>
                      <c:pt idx="4">
                        <c:v>1079192.8488099999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26-4D05-A20C-AF4266D5C5BA}"/>
                  </c:ext>
                </c:extLst>
              </c15:ser>
            </c15:filteredBarSeries>
          </c:ext>
        </c:extLst>
      </c:barChart>
      <c:catAx>
        <c:axId val="4078631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9216"/>
        <c:crosses val="autoZero"/>
        <c:auto val="1"/>
        <c:lblAlgn val="ctr"/>
        <c:lblOffset val="100"/>
        <c:noMultiLvlLbl val="0"/>
      </c:catAx>
      <c:valAx>
        <c:axId val="407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31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5764548251307837"/>
                <c:y val="0.73040350593988979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r>
                    <a:rPr lang="pt-BR"/>
                    <a:t>Bilhões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'RECEITA PASSAGEM'!$A$13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'RECEITA PASSAGEM'!$B$5:$G$5</c15:sqref>
                  </c15:fullRef>
                </c:ext>
              </c:extLst>
              <c:f>'RECEITA PASSAGEM'!$B$5:$E$5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'RECEITA PASSAGEM'!$B$13:$G$13</c15:sqref>
                  </c15:fullRef>
                </c:ext>
              </c:extLst>
              <c:f>'RECEITA PASSAGEM'!$B$13:$E$13</c:f>
              <c:numCache>
                <c:formatCode>#,##0</c:formatCode>
                <c:ptCount val="4"/>
                <c:pt idx="0">
                  <c:v>12423771.43048</c:v>
                </c:pt>
                <c:pt idx="1">
                  <c:v>8513112.3443699982</c:v>
                </c:pt>
                <c:pt idx="2">
                  <c:v>6100342.6498499997</c:v>
                </c:pt>
                <c:pt idx="3">
                  <c:v>2665473.0214400003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A-4C21-8B9F-4B11CBA03913}"/>
            </c:ext>
          </c:extLst>
        </c:ser>
        <c:ser>
          <c:idx val="2"/>
          <c:order val="2"/>
          <c:tx>
            <c:strRef>
              <c:f>'RECEITA PASSAGEM'!$A$14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'RECEITA PASSAGEM'!$B$5:$G$5</c15:sqref>
                  </c15:fullRef>
                </c:ext>
              </c:extLst>
              <c:f>'RECEITA PASSAGEM'!$B$5:$E$5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'RECEITA PASSAGEM'!$B$14:$G$14</c15:sqref>
                  </c15:fullRef>
                </c:ext>
              </c:extLst>
              <c:f>'RECEITA PASSAGEM'!$B$14:$E$14</c:f>
              <c:numCache>
                <c:formatCode>#,##0</c:formatCode>
                <c:ptCount val="4"/>
                <c:pt idx="0">
                  <c:v>12779167.659260001</c:v>
                </c:pt>
                <c:pt idx="1">
                  <c:v>8899674.6200599987</c:v>
                </c:pt>
                <c:pt idx="2">
                  <c:v>7050746.0683399998</c:v>
                </c:pt>
                <c:pt idx="3">
                  <c:v>3118970.571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A-4C21-8B9F-4B11CBA03913}"/>
            </c:ext>
          </c:extLst>
        </c:ser>
        <c:ser>
          <c:idx val="3"/>
          <c:order val="3"/>
          <c:tx>
            <c:strRef>
              <c:f>'RECEITA PASSAGEM'!$A$15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'RECEITA PASSAGEM'!$B$5:$G$5</c15:sqref>
                  </c15:fullRef>
                </c:ext>
              </c:extLst>
              <c:f>'RECEITA PASSAGEM'!$B$5:$E$5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'RECEITA PASSAGEM'!$B$15:$G$15</c15:sqref>
                  </c15:fullRef>
                </c:ext>
              </c:extLst>
              <c:f>'RECEITA PASSAGEM'!$B$15:$E$15</c:f>
              <c:numCache>
                <c:formatCode>#,##0</c:formatCode>
                <c:ptCount val="4"/>
                <c:pt idx="0">
                  <c:v>14119800.4527</c:v>
                </c:pt>
                <c:pt idx="1">
                  <c:v>9806472.901039999</c:v>
                </c:pt>
                <c:pt idx="2">
                  <c:v>8309942.6375499992</c:v>
                </c:pt>
                <c:pt idx="3">
                  <c:v>3798613.2059999998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A-4C21-8B9F-4B11CBA0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63136"/>
        <c:axId val="407859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'RECEITA PASSAGEM'!$A$12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'RECEITA PASSAGEM'!$B$5:$G$5</c15:sqref>
                        </c15:fullRef>
                        <c15:formulaRef>
                          <c15:sqref>'RECEITA PASSAGEM'!$B$5:$E$5</c15:sqref>
                        </c15:formulaRef>
                      </c:ext>
                    </c:extLst>
                    <c:strCache>
                      <c:ptCount val="4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'RECEITA PASSAGEM'!$B$12:$G$12</c15:sqref>
                        </c15:fullRef>
                        <c15:formulaRef>
                          <c15:sqref>'RECEITA PASSAGEM'!$B$12:$E$12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12519712.540239999</c:v>
                      </c:pt>
                      <c:pt idx="1">
                        <c:v>8295445.0552499993</c:v>
                      </c:pt>
                      <c:pt idx="2">
                        <c:v>5797536.7221899992</c:v>
                      </c:pt>
                      <c:pt idx="3">
                        <c:v>2358671.95652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2A-4C21-8B9F-4B11CBA03913}"/>
                  </c:ext>
                </c:extLst>
              </c15:ser>
            </c15:filteredBarSeries>
          </c:ext>
        </c:extLst>
      </c:barChart>
      <c:catAx>
        <c:axId val="4078631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9216"/>
        <c:crosses val="autoZero"/>
        <c:auto val="1"/>
        <c:lblAlgn val="ctr"/>
        <c:lblOffset val="100"/>
        <c:noMultiLvlLbl val="0"/>
      </c:catAx>
      <c:valAx>
        <c:axId val="407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31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5764548251307837"/>
                <c:y val="0.73040350593988979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r>
                    <a:rPr lang="pt-BR"/>
                    <a:t>Bilhões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7.6'!$A$12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7.6'!$B$5:$G$5</c15:sqref>
                  </c15:fullRef>
                </c:ext>
              </c:extLst>
              <c:f>'Fig 7.6'!$B$5:$F$5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7.6'!$B$12:$G$12</c15:sqref>
                  </c15:fullRef>
                </c:ext>
              </c:extLst>
              <c:f>'Fig 7.6'!$B$12:$F$12</c:f>
              <c:numCache>
                <c:formatCode>0.0%</c:formatCode>
                <c:ptCount val="5"/>
                <c:pt idx="0">
                  <c:v>-1.3728961133838147E-2</c:v>
                </c:pt>
                <c:pt idx="1">
                  <c:v>-1.2379493476368686E-2</c:v>
                </c:pt>
                <c:pt idx="2">
                  <c:v>5.6297460700033053E-2</c:v>
                </c:pt>
                <c:pt idx="3">
                  <c:v>0.12761975352937971</c:v>
                </c:pt>
                <c:pt idx="4">
                  <c:v>-0.16877312356252161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D68-9764-E05BB7AD2AD2}"/>
            </c:ext>
          </c:extLst>
        </c:ser>
        <c:ser>
          <c:idx val="2"/>
          <c:order val="2"/>
          <c:tx>
            <c:strRef>
              <c:f>'Fig 7.6'!$A$13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7.6'!$B$5:$G$5</c15:sqref>
                  </c15:fullRef>
                </c:ext>
              </c:extLst>
              <c:f>'Fig 7.6'!$B$5:$F$5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7.6'!$B$13:$G$13</c15:sqref>
                  </c15:fullRef>
                </c:ext>
              </c:extLst>
              <c:f>'Fig 7.6'!$B$13:$F$13</c:f>
              <c:numCache>
                <c:formatCode>0.0%</c:formatCode>
                <c:ptCount val="5"/>
                <c:pt idx="0">
                  <c:v>4.5772088233275943E-2</c:v>
                </c:pt>
                <c:pt idx="1">
                  <c:v>4.7292194743220106E-2</c:v>
                </c:pt>
                <c:pt idx="2">
                  <c:v>0.15385958464384153</c:v>
                </c:pt>
                <c:pt idx="3">
                  <c:v>0.18998983033193451</c:v>
                </c:pt>
                <c:pt idx="4">
                  <c:v>3.6459057966734987E-2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4-4D68-9764-E05BB7AD2AD2}"/>
            </c:ext>
          </c:extLst>
        </c:ser>
        <c:ser>
          <c:idx val="3"/>
          <c:order val="3"/>
          <c:tx>
            <c:strRef>
              <c:f>'Fig 7.6'!$A$14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7.6'!$B$5:$G$5</c15:sqref>
                  </c15:fullRef>
                </c:ext>
              </c:extLst>
              <c:f>'Fig 7.6'!$B$5:$F$5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7.6'!$B$14:$G$14</c15:sqref>
                  </c15:fullRef>
                </c:ext>
              </c:extLst>
              <c:f>'Fig 7.6'!$B$14:$F$14</c:f>
              <c:numCache>
                <c:formatCode>0.0%</c:formatCode>
                <c:ptCount val="5"/>
                <c:pt idx="0">
                  <c:v>9.9246490101499329E-2</c:v>
                </c:pt>
                <c:pt idx="1">
                  <c:v>0.11019995477114253</c:v>
                </c:pt>
                <c:pt idx="2">
                  <c:v>0.17576165765156748</c:v>
                </c:pt>
                <c:pt idx="3">
                  <c:v>0.28610034360760772</c:v>
                </c:pt>
                <c:pt idx="4">
                  <c:v>0.31978670791132435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4-4D68-9764-E05BB7AD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60392"/>
        <c:axId val="407860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7.6'!$A$11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7.6'!$B$5:$G$5</c15:sqref>
                        </c15:fullRef>
                        <c15:formulaRef>
                          <c15:sqref>'Fig 7.6'!$B$5:$F$5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7.6'!$B$11:$G$11</c15:sqref>
                        </c15:fullRef>
                        <c15:formulaRef>
                          <c15:sqref>'Fig 7.6'!$B$11:$F$11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4.5590307458676094E-2</c:v>
                      </c:pt>
                      <c:pt idx="1">
                        <c:v>6.6170217285597133E-3</c:v>
                      </c:pt>
                      <c:pt idx="2">
                        <c:v>0.23860694646749336</c:v>
                      </c:pt>
                      <c:pt idx="3">
                        <c:v>0.25182803410755206</c:v>
                      </c:pt>
                      <c:pt idx="4">
                        <c:v>7.5965237367912053E-2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94-4D68-9764-E05BB7AD2AD2}"/>
                  </c:ext>
                </c:extLst>
              </c15:ser>
            </c15:filteredBarSeries>
          </c:ext>
        </c:extLst>
      </c:barChart>
      <c:catAx>
        <c:axId val="4078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0784"/>
        <c:crosses val="autoZero"/>
        <c:auto val="1"/>
        <c:lblAlgn val="ctr"/>
        <c:lblOffset val="100"/>
        <c:noMultiLvlLbl val="0"/>
      </c:catAx>
      <c:valAx>
        <c:axId val="4078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0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99226071671399E-2"/>
          <c:y val="5.0400916380297825E-2"/>
          <c:w val="0.84729046752164339"/>
          <c:h val="0.36945062279586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7.7'!$A$7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7.7'!$H$7</c:f>
              <c:numCache>
                <c:formatCode>#,##0</c:formatCode>
                <c:ptCount val="1"/>
                <c:pt idx="0">
                  <c:v>1838693.9083699994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C-4502-8081-BE54BCA0F0DE}"/>
            </c:ext>
          </c:extLst>
        </c:ser>
        <c:ser>
          <c:idx val="1"/>
          <c:order val="1"/>
          <c:tx>
            <c:strRef>
              <c:f>'Fig 7.7'!$A$8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7.7'!$H$8</c:f>
              <c:numCache>
                <c:formatCode>#,##0</c:formatCode>
                <c:ptCount val="1"/>
                <c:pt idx="0">
                  <c:v>2008994.7427299998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C-4502-8081-BE54BCA0F0DE}"/>
            </c:ext>
          </c:extLst>
        </c:ser>
        <c:ser>
          <c:idx val="2"/>
          <c:order val="2"/>
          <c:tx>
            <c:strRef>
              <c:f>'Fig 7.7'!$A$9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7.7'!$H$9</c:f>
              <c:numCache>
                <c:formatCode>#,##0</c:formatCode>
                <c:ptCount val="1"/>
                <c:pt idx="0">
                  <c:v>1836059.06571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C-4502-8081-BE54BCA0F0DE}"/>
            </c:ext>
          </c:extLst>
        </c:ser>
        <c:ser>
          <c:idx val="3"/>
          <c:order val="3"/>
          <c:tx>
            <c:strRef>
              <c:f>'Fig 7.7'!$A$10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7.7'!$H$10</c:f>
              <c:numCache>
                <c:formatCode>#,##0</c:formatCode>
                <c:ptCount val="1"/>
                <c:pt idx="0">
                  <c:v>2322695.0883500003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C-4502-8081-BE54BCA0F0DE}"/>
            </c:ext>
          </c:extLst>
        </c:ser>
        <c:ser>
          <c:idx val="4"/>
          <c:order val="4"/>
          <c:tx>
            <c:strRef>
              <c:f>'Fig 7.7'!$A$11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7.7'!$H$11</c:f>
              <c:numCache>
                <c:formatCode>#,##0</c:formatCode>
                <c:ptCount val="1"/>
                <c:pt idx="0">
                  <c:v>2542693.4343999997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C-4502-8081-BE54BCA0F0DE}"/>
            </c:ext>
          </c:extLst>
        </c:ser>
        <c:ser>
          <c:idx val="5"/>
          <c:order val="5"/>
          <c:tx>
            <c:strRef>
              <c:f>'Fig 7.7'!$A$12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7.7'!$H$12</c:f>
              <c:numCache>
                <c:formatCode>#,##0</c:formatCode>
                <c:ptCount val="1"/>
                <c:pt idx="0">
                  <c:v>2203084.6428499999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C-4502-8081-BE54BCA0F0DE}"/>
            </c:ext>
          </c:extLst>
        </c:ser>
        <c:ser>
          <c:idx val="6"/>
          <c:order val="6"/>
          <c:tx>
            <c:strRef>
              <c:f>'Fig 7.7'!$A$13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7.7'!$H$13</c:f>
              <c:numCache>
                <c:formatCode>#,##0</c:formatCode>
                <c:ptCount val="1"/>
                <c:pt idx="0">
                  <c:v>2395245.8621000005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C-4502-8081-BE54BCA0F0DE}"/>
            </c:ext>
          </c:extLst>
        </c:ser>
        <c:ser>
          <c:idx val="7"/>
          <c:order val="7"/>
          <c:tx>
            <c:strRef>
              <c:f>'Fig 7.7'!$A$14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7.7'!$H$14</c:f>
              <c:numCache>
                <c:formatCode>#,##0</c:formatCode>
                <c:ptCount val="1"/>
                <c:pt idx="0">
                  <c:v>2847791.34718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C-4502-8081-BE54BCA0F0DE}"/>
            </c:ext>
          </c:extLst>
        </c:ser>
        <c:ser>
          <c:idx val="8"/>
          <c:order val="8"/>
          <c:tx>
            <c:strRef>
              <c:f>'Fig 7.7'!$A$15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7.7'!$H$5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7.7'!$H$15</c:f>
              <c:numCache>
                <c:formatCode>#,##0</c:formatCode>
                <c:ptCount val="1"/>
                <c:pt idx="0">
                  <c:v>3114648.61962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ACB-8A21-A35419F3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52944"/>
        <c:axId val="407853336"/>
      </c:barChart>
      <c:catAx>
        <c:axId val="407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3336"/>
        <c:crosses val="autoZero"/>
        <c:auto val="1"/>
        <c:lblAlgn val="ctr"/>
        <c:lblOffset val="100"/>
        <c:noMultiLvlLbl val="0"/>
      </c:catAx>
      <c:valAx>
        <c:axId val="40785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7.8'!$A$13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7.8'!$B$5:$H$5</c15:sqref>
                  </c15:fullRef>
                </c:ext>
              </c:extLst>
              <c:f>'Fig 7.8'!$B$5:$F$5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7.8'!$B$13:$H$13</c15:sqref>
                  </c15:fullRef>
                </c:ext>
              </c:extLst>
              <c:f>'Fig 7.8'!$B$13:$F$13</c:f>
              <c:numCache>
                <c:formatCode>#,##0</c:formatCode>
                <c:ptCount val="5"/>
                <c:pt idx="0">
                  <c:v>896617.91128000012</c:v>
                </c:pt>
                <c:pt idx="1">
                  <c:v>324492.34874999995</c:v>
                </c:pt>
                <c:pt idx="2">
                  <c:v>163781.94106000001</c:v>
                </c:pt>
                <c:pt idx="3">
                  <c:v>140131.45956000002</c:v>
                </c:pt>
                <c:pt idx="4">
                  <c:v>870222.20145000005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0-4AC8-8857-678E064F32F1}"/>
            </c:ext>
          </c:extLst>
        </c:ser>
        <c:ser>
          <c:idx val="2"/>
          <c:order val="2"/>
          <c:tx>
            <c:strRef>
              <c:f>'Fig 7.8'!$A$14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7.8'!$B$5:$H$5</c15:sqref>
                  </c15:fullRef>
                </c:ext>
              </c:extLst>
              <c:f>'Fig 7.8'!$B$5:$F$5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7.8'!$B$14:$H$14</c15:sqref>
                  </c15:fullRef>
                </c:ext>
              </c:extLst>
              <c:f>'Fig 7.8'!$B$14:$F$14</c:f>
              <c:numCache>
                <c:formatCode>#,##0</c:formatCode>
                <c:ptCount val="5"/>
                <c:pt idx="0">
                  <c:v>1171997.5030399999</c:v>
                </c:pt>
                <c:pt idx="1">
                  <c:v>354561.23259000003</c:v>
                </c:pt>
                <c:pt idx="2">
                  <c:v>241760.12560999999</c:v>
                </c:pt>
                <c:pt idx="3">
                  <c:v>156077.149</c:v>
                </c:pt>
                <c:pt idx="4">
                  <c:v>923395.33694000007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0-4AC8-8857-678E064F32F1}"/>
            </c:ext>
          </c:extLst>
        </c:ser>
        <c:ser>
          <c:idx val="3"/>
          <c:order val="3"/>
          <c:tx>
            <c:strRef>
              <c:f>'Fig 7.8'!$A$15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7.8'!$B$5:$H$5</c15:sqref>
                  </c15:fullRef>
                </c:ext>
              </c:extLst>
              <c:f>'Fig 7.8'!$B$5:$F$5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7.8'!$B$15:$H$15</c15:sqref>
                  </c15:fullRef>
                </c:ext>
              </c:extLst>
              <c:f>'Fig 7.8'!$B$15:$F$15</c:f>
              <c:numCache>
                <c:formatCode>#,##0</c:formatCode>
                <c:ptCount val="5"/>
                <c:pt idx="0">
                  <c:v>947750.74105000007</c:v>
                </c:pt>
                <c:pt idx="1">
                  <c:v>400958.90666000004</c:v>
                </c:pt>
                <c:pt idx="2">
                  <c:v>373417.05459000001</c:v>
                </c:pt>
                <c:pt idx="3">
                  <c:v>212911.40100000001</c:v>
                </c:pt>
                <c:pt idx="4">
                  <c:v>1179610.5163199999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0-4AC8-8857-678E064F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63920"/>
        <c:axId val="407864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7.8'!$A$12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7.8'!$B$5:$H$5</c15:sqref>
                        </c15:fullRef>
                        <c15:formulaRef>
                          <c15:sqref>'Fig 7.8'!$B$5:$F$5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7.8'!$B$12:$H$12</c15:sqref>
                        </c15:fullRef>
                        <c15:formulaRef>
                          <c15:sqref>'Fig 7.8'!$B$12:$F$12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997591.35833999992</c:v>
                      </c:pt>
                      <c:pt idx="1">
                        <c:v>318573.12409</c:v>
                      </c:pt>
                      <c:pt idx="2">
                        <c:v>141492.48549000002</c:v>
                      </c:pt>
                      <c:pt idx="3">
                        <c:v>105178.67386</c:v>
                      </c:pt>
                      <c:pt idx="4">
                        <c:v>640249.00107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060-4AC8-8857-678E064F32F1}"/>
                  </c:ext>
                </c:extLst>
              </c15:ser>
            </c15:filteredBarSeries>
          </c:ext>
        </c:extLst>
      </c:barChart>
      <c:catAx>
        <c:axId val="4078639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4704"/>
        <c:crosses val="autoZero"/>
        <c:auto val="1"/>
        <c:lblAlgn val="ctr"/>
        <c:lblOffset val="100"/>
        <c:noMultiLvlLbl val="0"/>
      </c:catAx>
      <c:valAx>
        <c:axId val="4078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7.9'!$B$5</c:f>
              <c:strCache>
                <c:ptCount val="1"/>
                <c:pt idx="0">
                  <c:v>Custos e Despesas de Voo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7.9'!$A$6:$A$15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'Fig 7.9'!$B$6:$B$15</c:f>
              <c:numCache>
                <c:formatCode>_(* #,##0_);_(* \(#,##0\);_(* "-"??_);_(@_)</c:formatCode>
                <c:ptCount val="10"/>
                <c:pt idx="0">
                  <c:v>17317361652.920002</c:v>
                </c:pt>
                <c:pt idx="1">
                  <c:v>20846733528.73</c:v>
                </c:pt>
                <c:pt idx="2">
                  <c:v>25427503707.360004</c:v>
                </c:pt>
                <c:pt idx="3">
                  <c:v>29653605572.669994</c:v>
                </c:pt>
                <c:pt idx="4">
                  <c:v>31555659806.300003</c:v>
                </c:pt>
                <c:pt idx="5">
                  <c:v>33288163686.889996</c:v>
                </c:pt>
                <c:pt idx="6">
                  <c:v>34974562464.870003</c:v>
                </c:pt>
                <c:pt idx="7">
                  <c:v>33976343142.580002</c:v>
                </c:pt>
                <c:pt idx="8">
                  <c:v>34617926825.650002</c:v>
                </c:pt>
                <c:pt idx="9">
                  <c:v>41867125950.720001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3-4EE3-AB79-4DC44BAC78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7867448"/>
        <c:axId val="407868624"/>
      </c:barChart>
      <c:catAx>
        <c:axId val="4078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8624"/>
        <c:crosses val="autoZero"/>
        <c:auto val="1"/>
        <c:lblAlgn val="ctr"/>
        <c:lblOffset val="100"/>
        <c:noMultiLvlLbl val="0"/>
      </c:catAx>
      <c:valAx>
        <c:axId val="407868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/>
                  <a:t>Bilhões de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defRPr>
              </a:pPr>
              <a:endParaRPr lang="pt-BR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40786744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2.13'!$B$5</c:f>
              <c:strCache>
                <c:ptCount val="1"/>
                <c:pt idx="0">
                  <c:v>Decolagens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2.13'!$A$6:$A$10</c:f>
              <c:strCache>
                <c:ptCount val="5"/>
                <c:pt idx="0">
                  <c:v> Centro-Oeste </c:v>
                </c:pt>
                <c:pt idx="1">
                  <c:v> Nordeste </c:v>
                </c:pt>
                <c:pt idx="2">
                  <c:v> Norte </c:v>
                </c:pt>
                <c:pt idx="3">
                  <c:v> Sudeste </c:v>
                </c:pt>
                <c:pt idx="4">
                  <c:v> Sul </c:v>
                </c:pt>
              </c:strCache>
            </c:strRef>
          </c:cat>
          <c:val>
            <c:numRef>
              <c:f>'Fig 2.13'!$B$6:$B$10</c:f>
              <c:numCache>
                <c:formatCode>0.0%</c:formatCode>
                <c:ptCount val="5"/>
                <c:pt idx="0">
                  <c:v>3.3177113844952158E-2</c:v>
                </c:pt>
                <c:pt idx="1">
                  <c:v>1.0301760149534827E-2</c:v>
                </c:pt>
                <c:pt idx="2">
                  <c:v>1.0360887138138323E-2</c:v>
                </c:pt>
                <c:pt idx="3">
                  <c:v>1.3150663227160873E-2</c:v>
                </c:pt>
                <c:pt idx="4">
                  <c:v>-2.565535693015329E-3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8A-46DF-89A0-F5D1042034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134592816"/>
        <c:axId val="134592424"/>
      </c:barChart>
      <c:catAx>
        <c:axId val="1345928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134592424"/>
        <c:crosses val="autoZero"/>
        <c:auto val="1"/>
        <c:lblAlgn val="ctr"/>
        <c:lblOffset val="100"/>
        <c:noMultiLvlLbl val="0"/>
      </c:catAx>
      <c:valAx>
        <c:axId val="134592424"/>
        <c:scaling>
          <c:orientation val="minMax"/>
        </c:scaling>
        <c:delete val="1"/>
        <c:axPos val="t"/>
        <c:numFmt formatCode="0%" sourceLinked="0"/>
        <c:majorTickMark val="out"/>
        <c:minorTickMark val="none"/>
        <c:tickLblPos val="none"/>
        <c:crossAx val="134592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66062100311018E-2"/>
          <c:y val="4.4689123403143072E-2"/>
          <c:w val="0.93565499862281687"/>
          <c:h val="0.845296898863251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7.10'!$A$6:$A$14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'Fig 7.10'!$B$6:$B$14</c:f>
              <c:numCache>
                <c:formatCode>0.0%</c:formatCode>
                <c:ptCount val="9"/>
                <c:pt idx="0">
                  <c:v>0.20380540330258023</c:v>
                </c:pt>
                <c:pt idx="1">
                  <c:v>0.21973563255447193</c:v>
                </c:pt>
                <c:pt idx="2">
                  <c:v>0.16620199583676554</c:v>
                </c:pt>
                <c:pt idx="3">
                  <c:v>6.414242709773621E-2</c:v>
                </c:pt>
                <c:pt idx="4">
                  <c:v>5.4903110605980743E-2</c:v>
                </c:pt>
                <c:pt idx="5">
                  <c:v>5.0660612998732812E-2</c:v>
                </c:pt>
                <c:pt idx="6">
                  <c:v>-2.8541295499912467E-2</c:v>
                </c:pt>
                <c:pt idx="7">
                  <c:v>1.8883247098654188E-2</c:v>
                </c:pt>
                <c:pt idx="8">
                  <c:v>0.20940592894484755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8C7-4540-B126-EE730359A5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867056"/>
        <c:axId val="407865880"/>
      </c:barChart>
      <c:catAx>
        <c:axId val="40786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07865880"/>
        <c:crosses val="autoZero"/>
        <c:auto val="1"/>
        <c:lblAlgn val="ctr"/>
        <c:lblOffset val="100"/>
        <c:noMultiLvlLbl val="0"/>
      </c:catAx>
      <c:valAx>
        <c:axId val="40786588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7867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7.11'!$A$6:$A$16</c:f>
              <c:strCache>
                <c:ptCount val="11"/>
                <c:pt idx="0">
                  <c:v>Custo com Pessoal</c:v>
                </c:pt>
                <c:pt idx="1">
                  <c:v>Combustíveis e Lubrificantes</c:v>
                </c:pt>
                <c:pt idx="2">
                  <c:v>Assistência a Passageiros e Indenizações Extrajudiciais</c:v>
                </c:pt>
                <c:pt idx="3">
                  <c:v>Condenações Judiciais Decorrentes da Prestação de Serviços Aéreos</c:v>
                </c:pt>
                <c:pt idx="4">
                  <c:v>Comissaria, Handling e Limpeza de aeronaves</c:v>
                </c:pt>
                <c:pt idx="5">
                  <c:v>Seguros, Arrendamentos e Manutenção de Aeronaves</c:v>
                </c:pt>
                <c:pt idx="6">
                  <c:v>Depreciação/Amortização/Exaustão</c:v>
                </c:pt>
                <c:pt idx="7">
                  <c:v>Tarifas Aeroportuárias</c:v>
                </c:pt>
                <c:pt idx="8">
                  <c:v>Tarifas de Navegação Aérea</c:v>
                </c:pt>
                <c:pt idx="9">
                  <c:v>Outros Custos e Despesas dos Serviços Aéreos Públicos</c:v>
                </c:pt>
                <c:pt idx="10">
                  <c:v>Despesas Operacionais dos Serviços Aéreos Públicos</c:v>
                </c:pt>
              </c:strCache>
            </c:strRef>
          </c:cat>
          <c:val>
            <c:numRef>
              <c:f>'Fig 7.11'!$B$6:$B$16</c:f>
              <c:numCache>
                <c:formatCode>0.0%</c:formatCode>
                <c:ptCount val="11"/>
                <c:pt idx="0">
                  <c:v>0.15215130465072665</c:v>
                </c:pt>
                <c:pt idx="1">
                  <c:v>0.32180359824185767</c:v>
                </c:pt>
                <c:pt idx="2">
                  <c:v>9.314685697522208E-3</c:v>
                </c:pt>
                <c:pt idx="3">
                  <c:v>5.2273863310387473E-3</c:v>
                </c:pt>
                <c:pt idx="4">
                  <c:v>3.5015655536585269E-2</c:v>
                </c:pt>
                <c:pt idx="5">
                  <c:v>0.20308606676218044</c:v>
                </c:pt>
                <c:pt idx="6">
                  <c:v>2.9144619420685469E-2</c:v>
                </c:pt>
                <c:pt idx="7">
                  <c:v>3.2339989330473128E-2</c:v>
                </c:pt>
                <c:pt idx="8">
                  <c:v>5.3671045085083961E-2</c:v>
                </c:pt>
                <c:pt idx="9">
                  <c:v>4.6668862249049099E-2</c:v>
                </c:pt>
                <c:pt idx="10">
                  <c:v>0.11139288707089144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313-B808-D2F7DE34C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7.12'!$A$6</c:f>
              <c:strCache>
                <c:ptCount val="1"/>
                <c:pt idx="0">
                  <c:v>Custo com Pessoal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7.12'!$B$6:$E$6</c:f>
              <c:numCache>
                <c:formatCode>0.0%</c:formatCode>
                <c:ptCount val="4"/>
                <c:pt idx="0">
                  <c:v>0.1593930517748067</c:v>
                </c:pt>
                <c:pt idx="1">
                  <c:v>0.15465179446937816</c:v>
                </c:pt>
                <c:pt idx="2">
                  <c:v>0.17603605598864377</c:v>
                </c:pt>
                <c:pt idx="3">
                  <c:v>0.15215130465072665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850-9596-D8577F3391FB}"/>
            </c:ext>
          </c:extLst>
        </c:ser>
        <c:ser>
          <c:idx val="1"/>
          <c:order val="1"/>
          <c:tx>
            <c:strRef>
              <c:f>'Fig 7.12'!$A$7</c:f>
              <c:strCache>
                <c:ptCount val="1"/>
                <c:pt idx="0">
                  <c:v>Combustíveis e Lubrificantes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7.12'!$B$7:$E$7</c:f>
              <c:numCache>
                <c:formatCode>0.0%</c:formatCode>
                <c:ptCount val="4"/>
                <c:pt idx="0">
                  <c:v>0.29460607932279326</c:v>
                </c:pt>
                <c:pt idx="1">
                  <c:v>0.24702583415261756</c:v>
                </c:pt>
                <c:pt idx="2">
                  <c:v>0.27446505781897085</c:v>
                </c:pt>
                <c:pt idx="3">
                  <c:v>0.32180359824185767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4850-9596-D8577F3391FB}"/>
            </c:ext>
          </c:extLst>
        </c:ser>
        <c:ser>
          <c:idx val="2"/>
          <c:order val="2"/>
          <c:tx>
            <c:strRef>
              <c:f>'Fig 7.12'!$A$8</c:f>
              <c:strCache>
                <c:ptCount val="1"/>
                <c:pt idx="0">
                  <c:v>Assistência a Passageiros e Indenizações Extrajudiciais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7.12'!$B$8:$E$8</c:f>
              <c:numCache>
                <c:formatCode>0.0%</c:formatCode>
                <c:ptCount val="4"/>
                <c:pt idx="0">
                  <c:v>1.2737021482991476E-2</c:v>
                </c:pt>
                <c:pt idx="1">
                  <c:v>7.1400483248173332E-3</c:v>
                </c:pt>
                <c:pt idx="2">
                  <c:v>9.1719852116720554E-3</c:v>
                </c:pt>
                <c:pt idx="3">
                  <c:v>9.314685697522208E-3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E-4850-9596-D8577F3391FB}"/>
            </c:ext>
          </c:extLst>
        </c:ser>
        <c:ser>
          <c:idx val="3"/>
          <c:order val="3"/>
          <c:tx>
            <c:strRef>
              <c:f>'Fig 7.12'!$A$9</c:f>
              <c:strCache>
                <c:ptCount val="1"/>
                <c:pt idx="0">
                  <c:v>Condenações Judiciais Decorrentes da Prestação de Serviços Aéreos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7.12'!$B$9:$E$9</c:f>
              <c:numCache>
                <c:formatCode>0.0%</c:formatCode>
                <c:ptCount val="4"/>
                <c:pt idx="0">
                  <c:v>5.4393408267111587E-3</c:v>
                </c:pt>
                <c:pt idx="1">
                  <c:v>6.7324274537582055E-3</c:v>
                </c:pt>
                <c:pt idx="2">
                  <c:v>8.2070345563103955E-3</c:v>
                </c:pt>
                <c:pt idx="3">
                  <c:v>5.2273863310387473E-3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E-4850-9596-D8577F3391FB}"/>
            </c:ext>
          </c:extLst>
        </c:ser>
        <c:ser>
          <c:idx val="4"/>
          <c:order val="4"/>
          <c:tx>
            <c:strRef>
              <c:f>'Fig 7.12'!$A$10</c:f>
              <c:strCache>
                <c:ptCount val="1"/>
                <c:pt idx="0">
                  <c:v>Comissaria, Handling e Limpeza de aeronaves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7.12'!$B$10:$E$10</c:f>
              <c:numCache>
                <c:formatCode>0.0%</c:formatCode>
                <c:ptCount val="4"/>
                <c:pt idx="0">
                  <c:v>4.4973129048117934E-2</c:v>
                </c:pt>
                <c:pt idx="1">
                  <c:v>2.9002294053449253E-2</c:v>
                </c:pt>
                <c:pt idx="2">
                  <c:v>3.6855311322265431E-2</c:v>
                </c:pt>
                <c:pt idx="3">
                  <c:v>3.5015655536585269E-2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E-4850-9596-D8577F3391FB}"/>
            </c:ext>
          </c:extLst>
        </c:ser>
        <c:ser>
          <c:idx val="5"/>
          <c:order val="5"/>
          <c:tx>
            <c:strRef>
              <c:f>'Fig 7.12'!$A$11</c:f>
              <c:strCache>
                <c:ptCount val="1"/>
                <c:pt idx="0">
                  <c:v>Seguros, Arrendamentos e Manutenção de Aeronaves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7.12'!$B$11:$E$11</c:f>
              <c:numCache>
                <c:formatCode>0.0%</c:formatCode>
                <c:ptCount val="4"/>
                <c:pt idx="0">
                  <c:v>0.21049016363586961</c:v>
                </c:pt>
                <c:pt idx="1">
                  <c:v>0.22707031170194811</c:v>
                </c:pt>
                <c:pt idx="2">
                  <c:v>0.20254050454670081</c:v>
                </c:pt>
                <c:pt idx="3">
                  <c:v>0.20308606676218044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E-4850-9596-D8577F3391FB}"/>
            </c:ext>
          </c:extLst>
        </c:ser>
        <c:ser>
          <c:idx val="6"/>
          <c:order val="6"/>
          <c:tx>
            <c:strRef>
              <c:f>'Fig 7.12'!$A$12</c:f>
              <c:strCache>
                <c:ptCount val="1"/>
                <c:pt idx="0">
                  <c:v>Depreciação/Amortização/Exaustão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7.12'!$B$12:$E$12</c:f>
              <c:numCache>
                <c:formatCode>0.0%</c:formatCode>
                <c:ptCount val="4"/>
                <c:pt idx="0">
                  <c:v>3.0680936934771169E-2</c:v>
                </c:pt>
                <c:pt idx="1">
                  <c:v>3.2722537135541005E-2</c:v>
                </c:pt>
                <c:pt idx="2">
                  <c:v>3.1427299883136979E-2</c:v>
                </c:pt>
                <c:pt idx="3">
                  <c:v>2.9144619420685469E-2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E-4850-9596-D8577F3391FB}"/>
            </c:ext>
          </c:extLst>
        </c:ser>
        <c:ser>
          <c:idx val="7"/>
          <c:order val="7"/>
          <c:tx>
            <c:strRef>
              <c:f>'Fig 7.12'!$A$13</c:f>
              <c:strCache>
                <c:ptCount val="1"/>
                <c:pt idx="0">
                  <c:v>Tarifas Aeroportuárias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7.12'!$B$13:$E$13</c:f>
              <c:numCache>
                <c:formatCode>0.0%</c:formatCode>
                <c:ptCount val="4"/>
                <c:pt idx="0">
                  <c:v>2.7933851902861462E-2</c:v>
                </c:pt>
                <c:pt idx="1">
                  <c:v>3.4959941012373673E-2</c:v>
                </c:pt>
                <c:pt idx="2">
                  <c:v>3.5774593570002559E-2</c:v>
                </c:pt>
                <c:pt idx="3">
                  <c:v>3.2339989330473128E-2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E-4850-9596-D8577F3391FB}"/>
            </c:ext>
          </c:extLst>
        </c:ser>
        <c:ser>
          <c:idx val="8"/>
          <c:order val="8"/>
          <c:tx>
            <c:strRef>
              <c:f>'Fig 7.12'!$A$14</c:f>
              <c:strCache>
                <c:ptCount val="1"/>
                <c:pt idx="0">
                  <c:v>Tarifas de Navegação Aérea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7.12'!$B$14:$E$14</c:f>
              <c:numCache>
                <c:formatCode>0.0%</c:formatCode>
                <c:ptCount val="4"/>
                <c:pt idx="0">
                  <c:v>4.4746234754171284E-2</c:v>
                </c:pt>
                <c:pt idx="1">
                  <c:v>5.0605526618586909E-2</c:v>
                </c:pt>
                <c:pt idx="2">
                  <c:v>4.8561840564802977E-2</c:v>
                </c:pt>
                <c:pt idx="3">
                  <c:v>5.3671045085083961E-2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E-4850-9596-D8577F3391FB}"/>
            </c:ext>
          </c:extLst>
        </c:ser>
        <c:ser>
          <c:idx val="9"/>
          <c:order val="9"/>
          <c:tx>
            <c:strRef>
              <c:f>'Fig 7.12'!$A$15</c:f>
              <c:strCache>
                <c:ptCount val="1"/>
                <c:pt idx="0">
                  <c:v>Outros Custos e Despesas dos Serviços Aéreos Públicos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7.12'!$B$15:$E$15</c:f>
              <c:numCache>
                <c:formatCode>0.0%</c:formatCode>
                <c:ptCount val="4"/>
                <c:pt idx="0">
                  <c:v>3.5655255849985669E-2</c:v>
                </c:pt>
                <c:pt idx="1">
                  <c:v>4.6095957578501622E-2</c:v>
                </c:pt>
                <c:pt idx="2">
                  <c:v>3.2615969722096579E-2</c:v>
                </c:pt>
                <c:pt idx="3">
                  <c:v>4.6852761872954972E-2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1E-4850-9596-D8577F3391FB}"/>
            </c:ext>
          </c:extLst>
        </c:ser>
        <c:ser>
          <c:idx val="10"/>
          <c:order val="10"/>
          <c:tx>
            <c:strRef>
              <c:f>'Fig 7.12'!$A$16</c:f>
              <c:strCache>
                <c:ptCount val="1"/>
                <c:pt idx="0">
                  <c:v>Despesas Operacionais dos Serviços Aéreos Públicos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7.12'!$B$5:$E$5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'Fig 7.12'!$B$16:$E$16</c:f>
              <c:numCache>
                <c:formatCode>0.0%</c:formatCode>
                <c:ptCount val="4"/>
                <c:pt idx="0">
                  <c:v>0.13334493446692008</c:v>
                </c:pt>
                <c:pt idx="1">
                  <c:v>0.16399332749902829</c:v>
                </c:pt>
                <c:pt idx="2">
                  <c:v>0.14434434681539768</c:v>
                </c:pt>
                <c:pt idx="3">
                  <c:v>0.11139288707089144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1E-4850-9596-D8577F3391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7866664"/>
        <c:axId val="407867840"/>
      </c:barChart>
      <c:catAx>
        <c:axId val="40786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407867840"/>
        <c:crosses val="autoZero"/>
        <c:auto val="1"/>
        <c:lblAlgn val="ctr"/>
        <c:lblOffset val="100"/>
        <c:noMultiLvlLbl val="0"/>
      </c:catAx>
      <c:valAx>
        <c:axId val="40786784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786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32872712103054E-2"/>
          <c:y val="4.0579710144927533E-2"/>
          <c:w val="0.8402109471415411"/>
          <c:h val="0.6140169880339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7.13'!$C$5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7.13'!$C$6:$C$13</c:f>
              <c:numCache>
                <c:formatCode>_(* #,##0_);_(* \(#,##0\);_(* "-"??_);_(@_)</c:formatCode>
                <c:ptCount val="8"/>
                <c:pt idx="0">
                  <c:v>2057067.0419099999</c:v>
                </c:pt>
                <c:pt idx="1">
                  <c:v>5257245.4452899992</c:v>
                </c:pt>
                <c:pt idx="2">
                  <c:v>661172.3475899999</c:v>
                </c:pt>
                <c:pt idx="3">
                  <c:v>3388215.8270199997</c:v>
                </c:pt>
                <c:pt idx="4">
                  <c:v>319210.00878999993</c:v>
                </c:pt>
                <c:pt idx="5">
                  <c:v>665146.33398999996</c:v>
                </c:pt>
                <c:pt idx="6">
                  <c:v>1454691.6750400001</c:v>
                </c:pt>
                <c:pt idx="7">
                  <c:v>3514612.9732900006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C93-AF4A-F43AA2A314F2}"/>
            </c:ext>
          </c:extLst>
        </c:ser>
        <c:ser>
          <c:idx val="1"/>
          <c:order val="1"/>
          <c:tx>
            <c:strRef>
              <c:f>'Fig 7.13'!$D$5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7.13'!$D$6:$D$13</c:f>
              <c:numCache>
                <c:formatCode>_(* #,##0_);_(* \(#,##0\);_(* "-"??_);_(@_)</c:formatCode>
                <c:ptCount val="8"/>
                <c:pt idx="0">
                  <c:v>2545026.9096100004</c:v>
                </c:pt>
                <c:pt idx="1">
                  <c:v>6906099.3492999999</c:v>
                </c:pt>
                <c:pt idx="2">
                  <c:v>921362.66254000005</c:v>
                </c:pt>
                <c:pt idx="3">
                  <c:v>3049948.40606</c:v>
                </c:pt>
                <c:pt idx="4">
                  <c:v>346821.35249000002</c:v>
                </c:pt>
                <c:pt idx="5">
                  <c:v>729895.86184999987</c:v>
                </c:pt>
                <c:pt idx="6">
                  <c:v>1977938.6361700003</c:v>
                </c:pt>
                <c:pt idx="7">
                  <c:v>4369640.3507200005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3-4C93-AF4A-F43AA2A314F2}"/>
            </c:ext>
          </c:extLst>
        </c:ser>
        <c:ser>
          <c:idx val="2"/>
          <c:order val="2"/>
          <c:tx>
            <c:strRef>
              <c:f>'Fig 7.13'!$E$5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7.13'!$E$6:$E$13</c:f>
              <c:numCache>
                <c:formatCode>_(* #,##0_);_(* \(#,##0\);_(* "-"??_);_(@_)</c:formatCode>
                <c:ptCount val="8"/>
                <c:pt idx="0">
                  <c:v>3388931.2044899995</c:v>
                </c:pt>
                <c:pt idx="1">
                  <c:v>9188868.4527999982</c:v>
                </c:pt>
                <c:pt idx="2">
                  <c:v>1120295.5853199998</c:v>
                </c:pt>
                <c:pt idx="3">
                  <c:v>3289629.5940400003</c:v>
                </c:pt>
                <c:pt idx="4">
                  <c:v>485514.68640000006</c:v>
                </c:pt>
                <c:pt idx="5">
                  <c:v>820056.36266999994</c:v>
                </c:pt>
                <c:pt idx="6">
                  <c:v>2322698.5417900002</c:v>
                </c:pt>
                <c:pt idx="7">
                  <c:v>4811509.2798499996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3-4C93-AF4A-F43AA2A314F2}"/>
            </c:ext>
          </c:extLst>
        </c:ser>
        <c:ser>
          <c:idx val="3"/>
          <c:order val="3"/>
          <c:tx>
            <c:strRef>
              <c:f>'Fig 7.13'!$F$5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C3-4C93-AF4A-F43AA2A314F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C3-4C93-AF4A-F43AA2A314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7C3-4C93-AF4A-F43AA2A314F2}"/>
              </c:ext>
            </c:extLst>
          </c:dPt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7.13'!$F$6:$F$13</c:f>
              <c:numCache>
                <c:formatCode>_(* #,##0_);_(* \(#,##0\);_(* "-"??_);_(@_)</c:formatCode>
                <c:ptCount val="8"/>
                <c:pt idx="0">
                  <c:v>3385901.3564299997</c:v>
                </c:pt>
                <c:pt idx="1">
                  <c:v>11531391.211770002</c:v>
                </c:pt>
                <c:pt idx="2">
                  <c:v>1181546.9638299998</c:v>
                </c:pt>
                <c:pt idx="3">
                  <c:v>4136782.2065600003</c:v>
                </c:pt>
                <c:pt idx="4">
                  <c:v>695165.99383000017</c:v>
                </c:pt>
                <c:pt idx="5">
                  <c:v>1032331.66646</c:v>
                </c:pt>
                <c:pt idx="6">
                  <c:v>2643682.97805</c:v>
                </c:pt>
                <c:pt idx="7">
                  <c:v>5046803.1957399994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C3-4C93-AF4A-F43AA2A314F2}"/>
            </c:ext>
          </c:extLst>
        </c:ser>
        <c:ser>
          <c:idx val="4"/>
          <c:order val="4"/>
          <c:tx>
            <c:strRef>
              <c:f>'Fig 7.13'!$G$5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7.13'!$G$6:$G$13</c:f>
              <c:numCache>
                <c:formatCode>_(* #,##0_);_(* \(#,##0\);_(* "-"??_);_(@_)</c:formatCode>
                <c:ptCount val="8"/>
                <c:pt idx="0">
                  <c:v>3029641.4830499999</c:v>
                </c:pt>
                <c:pt idx="1">
                  <c:v>11794448.951650001</c:v>
                </c:pt>
                <c:pt idx="2">
                  <c:v>1175981.54889</c:v>
                </c:pt>
                <c:pt idx="3">
                  <c:v>5339059.1141999997</c:v>
                </c:pt>
                <c:pt idx="4">
                  <c:v>798371.22345000005</c:v>
                </c:pt>
                <c:pt idx="5">
                  <c:v>1080424.6794099999</c:v>
                </c:pt>
                <c:pt idx="6">
                  <c:v>2779551.7174900007</c:v>
                </c:pt>
                <c:pt idx="7">
                  <c:v>5558181.0881600007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C3-4C93-AF4A-F43AA2A314F2}"/>
            </c:ext>
          </c:extLst>
        </c:ser>
        <c:ser>
          <c:idx val="5"/>
          <c:order val="5"/>
          <c:tx>
            <c:strRef>
              <c:f>'Fig 7.13'!$H$5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7.13'!$B$6:$B$13</c:f>
              <c:strCache>
                <c:ptCount val="8"/>
                <c:pt idx="0">
                  <c:v>Tripulação</c:v>
                </c:pt>
                <c:pt idx="1">
                  <c:v>Combustívels</c:v>
                </c:pt>
                <c:pt idx="2">
                  <c:v>Depreciação de Equipamento de Voo</c:v>
                </c:pt>
                <c:pt idx="3">
                  <c:v>Arrendamento, Manutenção e Seguro de Aeronaves</c:v>
                </c:pt>
                <c:pt idx="4">
                  <c:v>Tarifas Aeroportuárias</c:v>
                </c:pt>
                <c:pt idx="5">
                  <c:v>Tarifas de Navegação Aérea</c:v>
                </c:pt>
                <c:pt idx="6">
                  <c:v>Custos Indiretos</c:v>
                </c:pt>
                <c:pt idx="7">
                  <c:v>Despesas Operacionais dos Serviços Aéreos Públicos</c:v>
                </c:pt>
              </c:strCache>
            </c:strRef>
          </c:cat>
          <c:val>
            <c:numRef>
              <c:f>'Fig 7.13'!$H$6:$H$13</c:f>
              <c:numCache>
                <c:formatCode>_(* #,##0_);_(* \(#,##0\);_(* "-"??_);_(@_)</c:formatCode>
                <c:ptCount val="8"/>
                <c:pt idx="0">
                  <c:v>3188436.1862599999</c:v>
                </c:pt>
                <c:pt idx="1">
                  <c:v>12173972.64009</c:v>
                </c:pt>
                <c:pt idx="2">
                  <c:v>919208.75548999989</c:v>
                </c:pt>
                <c:pt idx="3">
                  <c:v>6547495.3399300016</c:v>
                </c:pt>
                <c:pt idx="4">
                  <c:v>858265.96950999985</c:v>
                </c:pt>
                <c:pt idx="5">
                  <c:v>1104405.4479499999</c:v>
                </c:pt>
                <c:pt idx="6">
                  <c:v>2915534.4689599988</c:v>
                </c:pt>
                <c:pt idx="7">
                  <c:v>5580844.8787000002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E-4164-9C70-6925101C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70584"/>
        <c:axId val="407869408"/>
      </c:barChart>
      <c:catAx>
        <c:axId val="40787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69408"/>
        <c:crosses val="autoZero"/>
        <c:auto val="1"/>
        <c:lblAlgn val="ctr"/>
        <c:lblOffset val="100"/>
        <c:noMultiLvlLbl val="0"/>
      </c:catAx>
      <c:valAx>
        <c:axId val="4078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7058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r>
                    <a:rPr lang="en-US" b="0"/>
                    <a:t>Bilhões de R$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7.14'!$A$6</c:f>
              <c:strCache>
                <c:ptCount val="1"/>
                <c:pt idx="0">
                  <c:v>Tripulação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7.14'!$C$6:$G$6</c:f>
              <c:numCache>
                <c:formatCode>0%</c:formatCode>
                <c:ptCount val="5"/>
                <c:pt idx="0">
                  <c:v>0.1220827668805447</c:v>
                </c:pt>
                <c:pt idx="1">
                  <c:v>0.13327817167947448</c:v>
                </c:pt>
                <c:pt idx="2">
                  <c:v>0.1141817762474924</c:v>
                </c:pt>
                <c:pt idx="3">
                  <c:v>9.6009448119514201E-2</c:v>
                </c:pt>
                <c:pt idx="4">
                  <c:v>9.5782879952483344E-2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7-438A-BB5D-1A148F61CDF5}"/>
            </c:ext>
          </c:extLst>
        </c:ser>
        <c:ser>
          <c:idx val="1"/>
          <c:order val="1"/>
          <c:tx>
            <c:strRef>
              <c:f>'Fig 7.14'!$A$7</c:f>
              <c:strCache>
                <c:ptCount val="1"/>
                <c:pt idx="0">
                  <c:v>Combustívels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7.14'!$C$7:$G$7</c:f>
              <c:numCache>
                <c:formatCode>0%</c:formatCode>
                <c:ptCount val="5"/>
                <c:pt idx="0">
                  <c:v>0.33127968656475709</c:v>
                </c:pt>
                <c:pt idx="1">
                  <c:v>0.36137516912996376</c:v>
                </c:pt>
                <c:pt idx="2">
                  <c:v>0.3888697846037924</c:v>
                </c:pt>
                <c:pt idx="3">
                  <c:v>0.37376651364758562</c:v>
                </c:pt>
                <c:pt idx="4">
                  <c:v>0.36571475538870052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7-438A-BB5D-1A148F61CDF5}"/>
            </c:ext>
          </c:extLst>
        </c:ser>
        <c:ser>
          <c:idx val="2"/>
          <c:order val="2"/>
          <c:tx>
            <c:strRef>
              <c:f>'Fig 7.14'!$A$8</c:f>
              <c:strCache>
                <c:ptCount val="1"/>
                <c:pt idx="0">
                  <c:v>Depreciação de Equipamento de Voo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7.14'!$C$8:$G$8</c:f>
              <c:numCache>
                <c:formatCode>0%</c:formatCode>
                <c:ptCount val="5"/>
                <c:pt idx="0">
                  <c:v>4.419697988990836E-2</c:v>
                </c:pt>
                <c:pt idx="1">
                  <c:v>4.4058417932536967E-2</c:v>
                </c:pt>
                <c:pt idx="2">
                  <c:v>3.9844967956239451E-2</c:v>
                </c:pt>
                <c:pt idx="3">
                  <c:v>3.7266897796103704E-2</c:v>
                </c:pt>
                <c:pt idx="4">
                  <c:v>2.7613681671843474E-2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7-438A-BB5D-1A148F61CDF5}"/>
            </c:ext>
          </c:extLst>
        </c:ser>
        <c:ser>
          <c:idx val="3"/>
          <c:order val="3"/>
          <c:tx>
            <c:strRef>
              <c:f>'Fig 7.14'!$A$9</c:f>
              <c:strCache>
                <c:ptCount val="1"/>
                <c:pt idx="0">
                  <c:v>Arrendamento, Manutenção e Seguro de Aeronaves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7.14'!$C$9:$G$9</c:f>
              <c:numCache>
                <c:formatCode>0%</c:formatCode>
                <c:ptCount val="5"/>
                <c:pt idx="0">
                  <c:v>0.14630341975903513</c:v>
                </c:pt>
                <c:pt idx="1">
                  <c:v>0.1293728881883052</c:v>
                </c:pt>
                <c:pt idx="2">
                  <c:v>0.13950351489036569</c:v>
                </c:pt>
                <c:pt idx="3">
                  <c:v>0.1691949763361966</c:v>
                </c:pt>
                <c:pt idx="4">
                  <c:v>0.1966913946205037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7-438A-BB5D-1A148F61CDF5}"/>
            </c:ext>
          </c:extLst>
        </c:ser>
        <c:ser>
          <c:idx val="4"/>
          <c:order val="4"/>
          <c:tx>
            <c:strRef>
              <c:f>'Fig 7.14'!$A$10</c:f>
              <c:strCache>
                <c:ptCount val="1"/>
                <c:pt idx="0">
                  <c:v>Tarifas Aeroportuárias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7.14'!$C$10:$G$10</c:f>
              <c:numCache>
                <c:formatCode>0%</c:formatCode>
                <c:ptCount val="5"/>
                <c:pt idx="0">
                  <c:v>1.663672402258419E-2</c:v>
                </c:pt>
                <c:pt idx="1">
                  <c:v>1.909407592611884E-2</c:v>
                </c:pt>
                <c:pt idx="2">
                  <c:v>2.3442882590665268E-2</c:v>
                </c:pt>
                <c:pt idx="3">
                  <c:v>2.5300412932281875E-2</c:v>
                </c:pt>
                <c:pt idx="4">
                  <c:v>2.5782917242984295E-2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7-438A-BB5D-1A148F61CDF5}"/>
            </c:ext>
          </c:extLst>
        </c:ser>
        <c:ser>
          <c:idx val="5"/>
          <c:order val="5"/>
          <c:tx>
            <c:strRef>
              <c:f>'Fig 7.14'!$A$11</c:f>
              <c:strCache>
                <c:ptCount val="1"/>
                <c:pt idx="0">
                  <c:v>Tarifas de Navegação Aérea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7.14'!$C$11:$G$11</c:f>
              <c:numCache>
                <c:formatCode>0%</c:formatCode>
                <c:ptCount val="5"/>
                <c:pt idx="0">
                  <c:v>3.5012481012612416E-2</c:v>
                </c:pt>
                <c:pt idx="1">
                  <c:v>3.2250761699137397E-2</c:v>
                </c:pt>
                <c:pt idx="2">
                  <c:v>3.4813023459495926E-2</c:v>
                </c:pt>
                <c:pt idx="3">
                  <c:v>3.423869714789788E-2</c:v>
                </c:pt>
                <c:pt idx="4">
                  <c:v>3.3177121403814534E-2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7-438A-BB5D-1A148F61CDF5}"/>
            </c:ext>
          </c:extLst>
        </c:ser>
        <c:ser>
          <c:idx val="6"/>
          <c:order val="6"/>
          <c:tx>
            <c:strRef>
              <c:f>'Fig 7.14'!$A$12</c:f>
              <c:strCache>
                <c:ptCount val="1"/>
                <c:pt idx="0">
                  <c:v>Custos Indiretos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7.14'!$C$12:$G$12</c:f>
              <c:numCache>
                <c:formatCode>0%</c:formatCode>
                <c:ptCount val="5"/>
                <c:pt idx="0">
                  <c:v>9.4880026812984797E-2</c:v>
                </c:pt>
                <c:pt idx="1">
                  <c:v>9.1345913012990526E-2</c:v>
                </c:pt>
                <c:pt idx="2">
                  <c:v>8.915215964450976E-2</c:v>
                </c:pt>
                <c:pt idx="3">
                  <c:v>8.808409440816288E-2</c:v>
                </c:pt>
                <c:pt idx="4">
                  <c:v>8.7584719192793287E-2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77-438A-BB5D-1A148F61CDF5}"/>
            </c:ext>
          </c:extLst>
        </c:ser>
        <c:ser>
          <c:idx val="7"/>
          <c:order val="7"/>
          <c:tx>
            <c:strRef>
              <c:f>'Fig 7.14'!$A$13</c:f>
              <c:strCache>
                <c:ptCount val="1"/>
                <c:pt idx="0">
                  <c:v>Despesas Operacionais dos Serviços Aéreos Públicos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7.14'!$C$5:$G$5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'Fig 7.14'!$C$13:$G$13</c:f>
              <c:numCache>
                <c:formatCode>0%</c:formatCode>
                <c:ptCount val="5"/>
                <c:pt idx="0">
                  <c:v>0.20960791505757337</c:v>
                </c:pt>
                <c:pt idx="1">
                  <c:v>0.18922460243147293</c:v>
                </c:pt>
                <c:pt idx="2">
                  <c:v>0.17019189060743911</c:v>
                </c:pt>
                <c:pt idx="3">
                  <c:v>0.17613895961225706</c:v>
                </c:pt>
                <c:pt idx="4">
                  <c:v>0.1676525305268769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7-438A-BB5D-1A148F61CD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7869800"/>
        <c:axId val="407870976"/>
      </c:barChart>
      <c:catAx>
        <c:axId val="40786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407870976"/>
        <c:crosses val="autoZero"/>
        <c:auto val="1"/>
        <c:lblAlgn val="ctr"/>
        <c:lblOffset val="100"/>
        <c:noMultiLvlLbl val="0"/>
      </c:catAx>
      <c:valAx>
        <c:axId val="40787097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40786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'Fig 7.15'!$A$13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7.15'!$B$5:$F$5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7.15'!$B$13:$F$13</c:f>
              <c:numCache>
                <c:formatCode>_(* #,##0.0_);_(* \(#,##0.0\);_(* "-"??_);_(@_)</c:formatCode>
                <c:ptCount val="5"/>
                <c:pt idx="0">
                  <c:v>14.62968183982</c:v>
                </c:pt>
                <c:pt idx="1">
                  <c:v>8.7049039255799983</c:v>
                </c:pt>
                <c:pt idx="2">
                  <c:v>6.5541755589999999</c:v>
                </c:pt>
                <c:pt idx="3">
                  <c:v>2.8015129999999999</c:v>
                </c:pt>
                <c:pt idx="4">
                  <c:v>0.90891183048000002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5A-4AA3-8CF9-7AA63A276803}"/>
            </c:ext>
          </c:extLst>
        </c:ser>
        <c:ser>
          <c:idx val="3"/>
          <c:order val="3"/>
          <c:tx>
            <c:strRef>
              <c:f>'Fig 7.15'!$A$14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7.15'!$B$14:$F$14</c:f>
              <c:numCache>
                <c:formatCode>_(* #,##0.0_);_(* \(#,##0.0\);_(* "-"??_);_(@_)</c:formatCode>
                <c:ptCount val="5"/>
                <c:pt idx="0">
                  <c:v>14.06064682023</c:v>
                </c:pt>
                <c:pt idx="1">
                  <c:v>9.1609930820500001</c:v>
                </c:pt>
                <c:pt idx="2">
                  <c:v>6.9649145937099997</c:v>
                </c:pt>
                <c:pt idx="3">
                  <c:v>3.5310813300000001</c:v>
                </c:pt>
                <c:pt idx="4">
                  <c:v>0.90029099966000004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A-4AA3-8CF9-7AA63A276803}"/>
            </c:ext>
          </c:extLst>
        </c:ser>
        <c:ser>
          <c:idx val="4"/>
          <c:order val="4"/>
          <c:tx>
            <c:strRef>
              <c:f>'Fig 7.15'!$A$15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7.15'!$B$15:$F$15</c:f>
              <c:numCache>
                <c:formatCode>_(* #,##0.0_);_(* \(#,##0.0\);_(* "-"??_);_(@_)</c:formatCode>
                <c:ptCount val="5"/>
                <c:pt idx="0">
                  <c:v>16.563174697970002</c:v>
                </c:pt>
                <c:pt idx="1">
                  <c:v>10.497418951670001</c:v>
                </c:pt>
                <c:pt idx="2">
                  <c:v>8.6167709569099991</c:v>
                </c:pt>
                <c:pt idx="3">
                  <c:v>4.9804909570000007</c:v>
                </c:pt>
                <c:pt idx="4">
                  <c:v>1.2092703871699999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D-497D-BCA7-5A8067AF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46672"/>
        <c:axId val="407840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7.15'!$A$11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7.15'!$B$5:$F$5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7.15'!$B$11:$F$11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"/>
                      <c:pt idx="0">
                        <c:v>14.962691500889996</c:v>
                      </c:pt>
                      <c:pt idx="1">
                        <c:v>9.5856633111299985</c:v>
                      </c:pt>
                      <c:pt idx="2">
                        <c:v>5.0157849276999995</c:v>
                      </c:pt>
                      <c:pt idx="3">
                        <c:v>2.1823773414000001</c:v>
                      </c:pt>
                      <c:pt idx="4">
                        <c:v>1.0145445655000001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5A-4AA3-8CF9-7AA63A2768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7.15'!$A$12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7.15'!$B$5:$F$5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7.15'!$B$12:$F$12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"/>
                      <c:pt idx="0">
                        <c:v>14.69444762196</c:v>
                      </c:pt>
                      <c:pt idx="1">
                        <c:v>9.6936872672999979</c:v>
                      </c:pt>
                      <c:pt idx="2">
                        <c:v>6.6285335349099999</c:v>
                      </c:pt>
                      <c:pt idx="3">
                        <c:v>2.4949460000000001</c:v>
                      </c:pt>
                      <c:pt idx="4">
                        <c:v>1.0369148216399999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5A-4AA3-8CF9-7AA63A276803}"/>
                  </c:ext>
                </c:extLst>
              </c15:ser>
            </c15:filteredBarSeries>
          </c:ext>
        </c:extLst>
      </c:barChart>
      <c:catAx>
        <c:axId val="407846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0008"/>
        <c:crosses val="autoZero"/>
        <c:auto val="1"/>
        <c:lblAlgn val="ctr"/>
        <c:lblOffset val="100"/>
        <c:noMultiLvlLbl val="0"/>
      </c:catAx>
      <c:valAx>
        <c:axId val="4078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/>
                  <a:t>Bilhões de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defRPr>
              </a:pPr>
              <a:endParaRPr lang="pt-BR"/>
            </a:p>
          </c:txPr>
        </c:title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7.16'!$A$6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7.16'!$H$6</c:f>
              <c:numCache>
                <c:formatCode>#,##0</c:formatCode>
                <c:ptCount val="1"/>
                <c:pt idx="0">
                  <c:v>1875704.15643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8-4FFC-8672-BE5221B74149}"/>
            </c:ext>
          </c:extLst>
        </c:ser>
        <c:ser>
          <c:idx val="1"/>
          <c:order val="1"/>
          <c:tx>
            <c:strRef>
              <c:f>'Fig 7.16'!$A$7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7.16'!$H$7</c:f>
              <c:numCache>
                <c:formatCode>#,##0</c:formatCode>
                <c:ptCount val="1"/>
                <c:pt idx="0">
                  <c:v>-181795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8-4FFC-8672-BE5221B74149}"/>
            </c:ext>
          </c:extLst>
        </c:ser>
        <c:ser>
          <c:idx val="2"/>
          <c:order val="2"/>
          <c:tx>
            <c:strRef>
              <c:f>'Fig 7.16'!$A$8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7.16'!$H$8</c:f>
              <c:numCache>
                <c:formatCode>#,##0</c:formatCode>
                <c:ptCount val="1"/>
                <c:pt idx="0">
                  <c:v>-1755628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8-4FFC-8672-BE5221B74149}"/>
            </c:ext>
          </c:extLst>
        </c:ser>
        <c:ser>
          <c:idx val="3"/>
          <c:order val="3"/>
          <c:tx>
            <c:strRef>
              <c:f>'Fig 7.16'!$A$9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7.16'!$H$9</c:f>
              <c:numCache>
                <c:formatCode>#,##0</c:formatCode>
                <c:ptCount val="1"/>
                <c:pt idx="0">
                  <c:v>-1672048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8-4FFC-8672-BE5221B74149}"/>
            </c:ext>
          </c:extLst>
        </c:ser>
        <c:ser>
          <c:idx val="4"/>
          <c:order val="4"/>
          <c:tx>
            <c:strRef>
              <c:f>'Fig 7.16'!$A$10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7.16'!$H$10</c:f>
              <c:numCache>
                <c:formatCode>#,##0</c:formatCode>
                <c:ptCount val="1"/>
                <c:pt idx="0">
                  <c:v>-2280159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8-4FFC-8672-BE5221B74149}"/>
            </c:ext>
          </c:extLst>
        </c:ser>
        <c:ser>
          <c:idx val="5"/>
          <c:order val="5"/>
          <c:tx>
            <c:strRef>
              <c:f>'Fig 7.16'!$A$11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7.16'!$H$11</c:f>
              <c:numCache>
                <c:formatCode>#,##0</c:formatCode>
                <c:ptCount val="1"/>
                <c:pt idx="0">
                  <c:v>-2216116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8-4FFC-8672-BE5221B74149}"/>
            </c:ext>
          </c:extLst>
        </c:ser>
        <c:ser>
          <c:idx val="6"/>
          <c:order val="6"/>
          <c:tx>
            <c:strRef>
              <c:f>'Fig 7.16'!$A$12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7.16'!$H$12</c:f>
              <c:numCache>
                <c:formatCode>#,##0</c:formatCode>
                <c:ptCount val="1"/>
                <c:pt idx="0">
                  <c:v>-4741351.3646099996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F8-4FFC-8672-BE5221B74149}"/>
            </c:ext>
          </c:extLst>
        </c:ser>
        <c:ser>
          <c:idx val="7"/>
          <c:order val="7"/>
          <c:tx>
            <c:strRef>
              <c:f>'Fig 7.16'!$A$13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7.16'!$H$13</c:f>
              <c:numCache>
                <c:formatCode>#,##0</c:formatCode>
                <c:ptCount val="1"/>
                <c:pt idx="0">
                  <c:v>-348919.57294999994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F8-4FFC-8672-BE5221B74149}"/>
            </c:ext>
          </c:extLst>
        </c:ser>
        <c:ser>
          <c:idx val="8"/>
          <c:order val="8"/>
          <c:tx>
            <c:strRef>
              <c:f>'Fig 7.16'!$A$14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7.16'!$H$14</c:f>
              <c:numCache>
                <c:formatCode>#,##0</c:formatCode>
                <c:ptCount val="1"/>
                <c:pt idx="0">
                  <c:v>-1594992.4861300001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B-4F6A-8C34-8D8FA865096E}"/>
            </c:ext>
          </c:extLst>
        </c:ser>
        <c:ser>
          <c:idx val="9"/>
          <c:order val="9"/>
          <c:tx>
            <c:strRef>
              <c:f>'Fig 7.16'!$A$15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7.16'!$H$5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7.16'!$H$15</c:f>
              <c:numCache>
                <c:formatCode>#,##0</c:formatCode>
                <c:ptCount val="1"/>
                <c:pt idx="0">
                  <c:v>-2235156.0842400002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D04-9FED-951BB97F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39616"/>
        <c:axId val="407847064"/>
      </c:barChart>
      <c:catAx>
        <c:axId val="407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7064"/>
        <c:crosses val="autoZero"/>
        <c:auto val="1"/>
        <c:lblAlgn val="ctr"/>
        <c:lblOffset val="100"/>
        <c:noMultiLvlLbl val="0"/>
      </c:catAx>
      <c:valAx>
        <c:axId val="4078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3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7.17'!$A$13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7.17'!$B$5:$G$5</c15:sqref>
                  </c15:fullRef>
                </c:ext>
              </c:extLst>
              <c:f>'Fig 7.17'!$B$5:$F$5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7.17'!$B$13:$G$13</c15:sqref>
                  </c15:fullRef>
                </c:ext>
              </c:extLst>
              <c:f>'Fig 7.17'!$B$13:$F$13</c:f>
              <c:numCache>
                <c:formatCode>#,##0</c:formatCode>
                <c:ptCount val="5"/>
                <c:pt idx="0">
                  <c:v>742896.07095000008</c:v>
                </c:pt>
                <c:pt idx="1">
                  <c:v>-197382.17902000001</c:v>
                </c:pt>
                <c:pt idx="2">
                  <c:v>-672470.31380999996</c:v>
                </c:pt>
                <c:pt idx="3">
                  <c:v>-231065</c:v>
                </c:pt>
                <c:pt idx="4">
                  <c:v>9101.8489300000001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2-478A-8DC7-0F80F3DCD620}"/>
            </c:ext>
          </c:extLst>
        </c:ser>
        <c:ser>
          <c:idx val="2"/>
          <c:order val="2"/>
          <c:tx>
            <c:strRef>
              <c:f>'Fig 7.17'!$A$14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7.17'!$B$5:$G$5</c15:sqref>
                  </c15:fullRef>
                </c:ext>
              </c:extLst>
              <c:f>'Fig 7.17'!$B$5:$F$5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7.17'!$B$14:$G$14</c15:sqref>
                  </c15:fullRef>
                </c:ext>
              </c:extLst>
              <c:f>'Fig 7.17'!$B$14:$F$14</c:f>
              <c:numCache>
                <c:formatCode>#,##0</c:formatCode>
                <c:ptCount val="5"/>
                <c:pt idx="0">
                  <c:v>-115566.03170000001</c:v>
                </c:pt>
                <c:pt idx="1">
                  <c:v>-793738.31628000003</c:v>
                </c:pt>
                <c:pt idx="2">
                  <c:v>-493380.31279</c:v>
                </c:pt>
                <c:pt idx="3">
                  <c:v>-178622.07999999999</c:v>
                </c:pt>
                <c:pt idx="4">
                  <c:v>-13685.745359999999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2-478A-8DC7-0F80F3DCD620}"/>
            </c:ext>
          </c:extLst>
        </c:ser>
        <c:ser>
          <c:idx val="3"/>
          <c:order val="3"/>
          <c:tx>
            <c:strRef>
              <c:f>'Fig 7.17'!$A$15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7.17'!$B$5:$G$5</c15:sqref>
                  </c15:fullRef>
                </c:ext>
              </c:extLst>
              <c:f>'Fig 7.17'!$B$5:$F$5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7.17'!$B$15:$G$15</c15:sqref>
                  </c15:fullRef>
                </c:ext>
              </c:extLst>
              <c:f>'Fig 7.17'!$B$15:$F$15</c:f>
              <c:numCache>
                <c:formatCode>#,##0</c:formatCode>
                <c:ptCount val="5"/>
                <c:pt idx="0">
                  <c:v>-388545.65376999998</c:v>
                </c:pt>
                <c:pt idx="1">
                  <c:v>-1339693.4203699999</c:v>
                </c:pt>
                <c:pt idx="2">
                  <c:v>-388100.95579000004</c:v>
                </c:pt>
                <c:pt idx="3">
                  <c:v>-82543.460000000006</c:v>
                </c:pt>
                <c:pt idx="4">
                  <c:v>-36272.59431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2-478A-8DC7-0F80F3DC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41968"/>
        <c:axId val="407841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7.17'!$A$12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7.17'!$B$5:$G$5</c15:sqref>
                        </c15:fullRef>
                        <c15:formulaRef>
                          <c15:sqref>'Fig 7.17'!$B$5:$F$5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7.17'!$B$12:$G$12</c15:sqref>
                        </c15:fullRef>
                        <c15:formulaRef>
                          <c15:sqref>'Fig 7.17'!$B$12:$F$12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-1755766.9807799999</c:v>
                      </c:pt>
                      <c:pt idx="1">
                        <c:v>-2308734.8139999998</c:v>
                      </c:pt>
                      <c:pt idx="2">
                        <c:v>-492457.56549000001</c:v>
                      </c:pt>
                      <c:pt idx="3">
                        <c:v>-139757.152</c:v>
                      </c:pt>
                      <c:pt idx="4">
                        <c:v>-44634.852340000005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12-478A-8DC7-0F80F3DCD620}"/>
                  </c:ext>
                </c:extLst>
              </c15:ser>
            </c15:filteredBarSeries>
          </c:ext>
        </c:extLst>
      </c:barChart>
      <c:catAx>
        <c:axId val="407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1576"/>
        <c:crosses val="autoZero"/>
        <c:auto val="1"/>
        <c:lblAlgn val="ctr"/>
        <c:lblOffset val="100"/>
        <c:noMultiLvlLbl val="0"/>
      </c:catAx>
      <c:valAx>
        <c:axId val="4078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03457409730938E-2"/>
          <c:y val="5.174074074074074E-2"/>
          <c:w val="0.84341488916771223"/>
          <c:h val="0.346880000000000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7.18'!$A$6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7.18'!$H$6</c:f>
              <c:numCache>
                <c:formatCode>#,##0</c:formatCode>
                <c:ptCount val="1"/>
                <c:pt idx="0">
                  <c:v>1707180.2210599999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DFB-8F2C-D43F70DA2A0D}"/>
            </c:ext>
          </c:extLst>
        </c:ser>
        <c:ser>
          <c:idx val="1"/>
          <c:order val="1"/>
          <c:tx>
            <c:strRef>
              <c:f>'Fig 7.18'!$A$7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7.18'!$H$7</c:f>
              <c:numCache>
                <c:formatCode>#,##0</c:formatCode>
                <c:ptCount val="1"/>
                <c:pt idx="0">
                  <c:v>831157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9-4DFB-8F2C-D43F70DA2A0D}"/>
            </c:ext>
          </c:extLst>
        </c:ser>
        <c:ser>
          <c:idx val="2"/>
          <c:order val="2"/>
          <c:tx>
            <c:strRef>
              <c:f>'Fig 7.18'!$A$8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7.18'!$H$8</c:f>
              <c:numCache>
                <c:formatCode>#,##0</c:formatCode>
                <c:ptCount val="1"/>
                <c:pt idx="0">
                  <c:v>-1619193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9-4DFB-8F2C-D43F70DA2A0D}"/>
            </c:ext>
          </c:extLst>
        </c:ser>
        <c:ser>
          <c:idx val="3"/>
          <c:order val="3"/>
          <c:tx>
            <c:strRef>
              <c:f>'Fig 7.18'!$A$9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7.18'!$H$9</c:f>
              <c:numCache>
                <c:formatCode>#,##0</c:formatCode>
                <c:ptCount val="1"/>
                <c:pt idx="0">
                  <c:v>-3617383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9-4DFB-8F2C-D43F70DA2A0D}"/>
            </c:ext>
          </c:extLst>
        </c:ser>
        <c:ser>
          <c:idx val="4"/>
          <c:order val="4"/>
          <c:tx>
            <c:strRef>
              <c:f>'Fig 7.18'!$A$10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7.18'!$H$10</c:f>
              <c:numCache>
                <c:formatCode>#,##0</c:formatCode>
                <c:ptCount val="1"/>
                <c:pt idx="0">
                  <c:v>-2388308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9-4DFB-8F2C-D43F70DA2A0D}"/>
            </c:ext>
          </c:extLst>
        </c:ser>
        <c:ser>
          <c:idx val="5"/>
          <c:order val="5"/>
          <c:tx>
            <c:strRef>
              <c:f>'Fig 7.18'!$A$11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7.18'!$H$11</c:f>
              <c:numCache>
                <c:formatCode>#,##0</c:formatCode>
                <c:ptCount val="1"/>
                <c:pt idx="0">
                  <c:v>-1644033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19-4DFB-8F2C-D43F70DA2A0D}"/>
            </c:ext>
          </c:extLst>
        </c:ser>
        <c:ser>
          <c:idx val="6"/>
          <c:order val="6"/>
          <c:tx>
            <c:strRef>
              <c:f>'Fig 7.18'!$A$12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7.18'!$H$12</c:f>
              <c:numCache>
                <c:formatCode>#,##0</c:formatCode>
                <c:ptCount val="1"/>
                <c:pt idx="0">
                  <c:v>-5872322.9865899999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9-4DFB-8F2C-D43F70DA2A0D}"/>
            </c:ext>
          </c:extLst>
        </c:ser>
        <c:ser>
          <c:idx val="7"/>
          <c:order val="7"/>
          <c:tx>
            <c:strRef>
              <c:f>'Fig 7.18'!$A$13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7.18'!$H$13</c:f>
              <c:numCache>
                <c:formatCode>#,##0</c:formatCode>
                <c:ptCount val="1"/>
                <c:pt idx="0">
                  <c:v>-1602036.16319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9-4DFB-8F2C-D43F70DA2A0D}"/>
            </c:ext>
          </c:extLst>
        </c:ser>
        <c:ser>
          <c:idx val="8"/>
          <c:order val="8"/>
          <c:tx>
            <c:strRef>
              <c:f>'Fig 7.18'!$A$14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7.18'!$H$14</c:f>
              <c:numCache>
                <c:formatCode>#,##0</c:formatCode>
                <c:ptCount val="1"/>
                <c:pt idx="0">
                  <c:v>413318.94536000001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3-45F5-997E-8420A77C0ADF}"/>
            </c:ext>
          </c:extLst>
        </c:ser>
        <c:ser>
          <c:idx val="9"/>
          <c:order val="9"/>
          <c:tx>
            <c:strRef>
              <c:f>'Fig 7.18'!$A$15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7.18'!$H$5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7.18'!$H$15</c:f>
              <c:numCache>
                <c:formatCode>#,##0</c:formatCode>
                <c:ptCount val="1"/>
                <c:pt idx="0">
                  <c:v>-1967889.49049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6-4A10-8790-2373BE24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46280"/>
        <c:axId val="407843536"/>
      </c:barChart>
      <c:catAx>
        <c:axId val="4078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3536"/>
        <c:crosses val="autoZero"/>
        <c:auto val="1"/>
        <c:lblAlgn val="ctr"/>
        <c:lblOffset val="100"/>
        <c:noMultiLvlLbl val="0"/>
      </c:catAx>
      <c:valAx>
        <c:axId val="4078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62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6031646451972676"/>
                <c:y val="0.3993174074074074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r>
                    <a:rPr lang="pt-BR"/>
                    <a:t>Bilhões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7.19'!$A$13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7.19'!$B$5:$G$5</c15:sqref>
                  </c15:fullRef>
                </c:ext>
              </c:extLst>
              <c:f>'Fig 7.19'!$B$5:$F$5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7.19'!$B$13:$G$13</c15:sqref>
                  </c15:fullRef>
                </c:ext>
              </c:extLst>
              <c:f>'Fig 7.19'!$B$13:$F$13</c:f>
              <c:numCache>
                <c:formatCode>#,##0</c:formatCode>
                <c:ptCount val="5"/>
                <c:pt idx="0">
                  <c:v>-651298.15992999997</c:v>
                </c:pt>
                <c:pt idx="1">
                  <c:v>-304847.10381</c:v>
                </c:pt>
                <c:pt idx="2">
                  <c:v>-549063.99598000001</c:v>
                </c:pt>
                <c:pt idx="3">
                  <c:v>-71403</c:v>
                </c:pt>
                <c:pt idx="4">
                  <c:v>-25423.903469999997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8-4D6E-9164-35804912ABE3}"/>
            </c:ext>
          </c:extLst>
        </c:ser>
        <c:ser>
          <c:idx val="2"/>
          <c:order val="2"/>
          <c:tx>
            <c:strRef>
              <c:f>'Fig 7.19'!$A$14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7.19'!$B$5:$G$5</c15:sqref>
                  </c15:fullRef>
                </c:ext>
              </c:extLst>
              <c:f>'Fig 7.19'!$B$5:$F$5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7.19'!$B$14:$G$14</c15:sqref>
                  </c15:fullRef>
                </c:ext>
              </c:extLst>
              <c:f>'Fig 7.19'!$B$14:$F$14</c:f>
              <c:numCache>
                <c:formatCode>#,##0</c:formatCode>
                <c:ptCount val="5"/>
                <c:pt idx="0">
                  <c:v>120509.4516</c:v>
                </c:pt>
                <c:pt idx="1">
                  <c:v>-29155.551579999999</c:v>
                </c:pt>
                <c:pt idx="2">
                  <c:v>278586.47772000002</c:v>
                </c:pt>
                <c:pt idx="3">
                  <c:v>41584.658000000003</c:v>
                </c:pt>
                <c:pt idx="4">
                  <c:v>1793.9096200000001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8-4D6E-9164-35804912ABE3}"/>
            </c:ext>
          </c:extLst>
        </c:ser>
        <c:ser>
          <c:idx val="3"/>
          <c:order val="3"/>
          <c:tx>
            <c:strRef>
              <c:f>'Fig 7.19'!$A$15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7.19'!$B$5:$G$5</c15:sqref>
                  </c15:fullRef>
                </c:ext>
              </c:extLst>
              <c:f>'Fig 7.19'!$B$5:$F$5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7.19'!$B$15:$G$15</c15:sqref>
                  </c15:fullRef>
                </c:ext>
              </c:extLst>
              <c:f>'Fig 7.19'!$B$15:$F$15</c:f>
              <c:numCache>
                <c:formatCode>#,##0</c:formatCode>
                <c:ptCount val="5"/>
                <c:pt idx="0">
                  <c:v>-442859.93131000001</c:v>
                </c:pt>
                <c:pt idx="1">
                  <c:v>-1168201.4616700001</c:v>
                </c:pt>
                <c:pt idx="2">
                  <c:v>170255.08012999999</c:v>
                </c:pt>
                <c:pt idx="3">
                  <c:v>-491908.40700000001</c:v>
                </c:pt>
                <c:pt idx="4">
                  <c:v>-35174.770640000002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8-4D6E-9164-35804912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07842360"/>
        <c:axId val="40784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7.19'!$A$12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7.19'!$B$5:$G$5</c15:sqref>
                        </c15:fullRef>
                        <c15:formulaRef>
                          <c15:sqref>'Fig 7.19'!$B$5:$F$5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7.19'!$B$12:$G$12</c15:sqref>
                        </c15:fullRef>
                        <c15:formulaRef>
                          <c15:sqref>'Fig 7.19'!$B$12:$F$12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-1570978.23667</c:v>
                      </c:pt>
                      <c:pt idx="1">
                        <c:v>-3493677.1443400001</c:v>
                      </c:pt>
                      <c:pt idx="2">
                        <c:v>-754596.23485999997</c:v>
                      </c:pt>
                      <c:pt idx="3">
                        <c:v>-12407.935720000001</c:v>
                      </c:pt>
                      <c:pt idx="4">
                        <c:v>-40663.434999999998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A8-4D6E-9164-35804912ABE3}"/>
                  </c:ext>
                </c:extLst>
              </c15:ser>
            </c15:filteredBarSeries>
          </c:ext>
        </c:extLst>
      </c:barChart>
      <c:catAx>
        <c:axId val="4078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4320"/>
        <c:crosses val="autoZero"/>
        <c:auto val="1"/>
        <c:lblAlgn val="ctr"/>
        <c:lblOffset val="100"/>
        <c:noMultiLvlLbl val="0"/>
      </c:catAx>
      <c:valAx>
        <c:axId val="407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2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1.2'!$A$6:$A$11</c15:sqref>
                  </c15:fullRef>
                </c:ext>
              </c:extLst>
              <c:f>('Fig 1.2'!$A$6,'Fig 1.2'!$A$8:$A$11)</c:f>
              <c:strCache>
                <c:ptCount val="5"/>
                <c:pt idx="0">
                  <c:v>Pilotos e Co-pilotos</c:v>
                </c:pt>
                <c:pt idx="1">
                  <c:v>Tripulação de Cabine</c:v>
                </c:pt>
                <c:pt idx="2">
                  <c:v>Pessoal de Manutenção e Revisão Geral</c:v>
                </c:pt>
                <c:pt idx="3">
                  <c:v>Pessoal de Tarifação e Vendas</c:v>
                </c:pt>
                <c:pt idx="4">
                  <c:v>Outros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1.2'!$B$6:$B$11</c15:sqref>
                  </c15:fullRef>
                </c:ext>
              </c:extLst>
              <c:f>('Fig 1.2'!$B$6,'Fig 1.2'!$B$8:$B$11)</c:f>
              <c:numCache>
                <c:formatCode>0.0%</c:formatCode>
                <c:ptCount val="5"/>
                <c:pt idx="0">
                  <c:v>0.12237046920169002</c:v>
                </c:pt>
                <c:pt idx="1">
                  <c:v>0.22412719590838337</c:v>
                </c:pt>
                <c:pt idx="2">
                  <c:v>0.15723815877251501</c:v>
                </c:pt>
                <c:pt idx="3">
                  <c:v>0.20148988214365132</c:v>
                </c:pt>
                <c:pt idx="4">
                  <c:v>0.29435179008227708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5-4A4C-96C2-9FC8083FFF07}"/>
            </c:ext>
          </c:extLst>
        </c:ser>
        <c:ser>
          <c:idx val="0"/>
          <c:order val="1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1.2'!$A$6:$A$11</c15:sqref>
                  </c15:fullRef>
                </c:ext>
              </c:extLst>
              <c:f>('Fig 1.2'!$A$6,'Fig 1.2'!$A$8:$A$11)</c:f>
              <c:strCache>
                <c:ptCount val="5"/>
                <c:pt idx="0">
                  <c:v>Pilotos e Co-pilotos</c:v>
                </c:pt>
                <c:pt idx="1">
                  <c:v>Tripulação de Cabine</c:v>
                </c:pt>
                <c:pt idx="2">
                  <c:v>Pessoal de Manutenção e Revisão Geral</c:v>
                </c:pt>
                <c:pt idx="3">
                  <c:v>Pessoal de Tarifação e Vendas</c:v>
                </c:pt>
                <c:pt idx="4">
                  <c:v>Outros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1.2'!$B$6:$B$11</c15:sqref>
                  </c15:fullRef>
                </c:ext>
              </c:extLst>
              <c:f>('Fig 1.2'!$B$6,'Fig 1.2'!$B$8:$B$11)</c:f>
              <c:numCache>
                <c:formatCode>0.0%</c:formatCode>
                <c:ptCount val="5"/>
                <c:pt idx="0">
                  <c:v>0.12237046920169002</c:v>
                </c:pt>
                <c:pt idx="1">
                  <c:v>0.22412719590838337</c:v>
                </c:pt>
                <c:pt idx="2">
                  <c:v>0.15723815877251501</c:v>
                </c:pt>
                <c:pt idx="3">
                  <c:v>0.20148988214365132</c:v>
                </c:pt>
                <c:pt idx="4">
                  <c:v>0.29435179008227708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5-4A4C-96C2-9FC8083FFF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7661274501341E-2"/>
          <c:y val="5.0278240740740728E-2"/>
          <c:w val="0.91331174793105019"/>
          <c:h val="0.772937268518536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2.14'!$A$6:$A$15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2.14'!$B$6:$B$15</c:f>
              <c:numCache>
                <c:formatCode>_(* #,##0_);_(* \(#,##0\);_(* "-"??_);_(@_)</c:formatCode>
                <c:ptCount val="10"/>
                <c:pt idx="0">
                  <c:v>86324699412</c:v>
                </c:pt>
                <c:pt idx="1">
                  <c:v>102731429608</c:v>
                </c:pt>
                <c:pt idx="2">
                  <c:v>116095568545</c:v>
                </c:pt>
                <c:pt idx="3">
                  <c:v>119338209573</c:v>
                </c:pt>
                <c:pt idx="4">
                  <c:v>115906298170</c:v>
                </c:pt>
                <c:pt idx="5">
                  <c:v>117059120662</c:v>
                </c:pt>
                <c:pt idx="6">
                  <c:v>118221194986</c:v>
                </c:pt>
                <c:pt idx="7">
                  <c:v>111252468687</c:v>
                </c:pt>
                <c:pt idx="8">
                  <c:v>112812789597</c:v>
                </c:pt>
                <c:pt idx="9">
                  <c:v>117964490479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F-40B8-8E8C-D9B7F50481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94776"/>
        <c:axId val="134593600"/>
      </c:barChart>
      <c:catAx>
        <c:axId val="1345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593600"/>
        <c:crosses val="autoZero"/>
        <c:auto val="1"/>
        <c:lblAlgn val="ctr"/>
        <c:lblOffset val="100"/>
        <c:noMultiLvlLbl val="0"/>
      </c:catAx>
      <c:valAx>
        <c:axId val="13459360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Bilhões de ASK</a:t>
                </a:r>
              </a:p>
            </c:rich>
          </c:tx>
          <c:layout>
            <c:manualLayout>
              <c:xMode val="edge"/>
              <c:yMode val="edge"/>
              <c:x val="6.2871277028182949E-3"/>
              <c:y val="0.2638764946048410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crossAx val="134594776"/>
        <c:crosses val="autoZero"/>
        <c:crossBetween val="between"/>
        <c:dispUnits>
          <c:builtInUnit val="billions"/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7.20'!$A$6</c:f>
              <c:strCache>
                <c:ptCount val="1"/>
                <c:pt idx="0">
                  <c:v>Caixa e Equivalentes de Caixa no Início do Período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7.20'!$G$6</c:f>
              <c:numCache>
                <c:formatCode>#,##0</c:formatCode>
                <c:ptCount val="1"/>
                <c:pt idx="0">
                  <c:v>1767761042.6800001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0-44CA-89EE-94A73214A425}"/>
            </c:ext>
          </c:extLst>
        </c:ser>
        <c:ser>
          <c:idx val="1"/>
          <c:order val="1"/>
          <c:tx>
            <c:strRef>
              <c:f>'Fig 7.20'!$A$7</c:f>
              <c:strCache>
                <c:ptCount val="1"/>
                <c:pt idx="0">
                  <c:v>Caixa e Equivalentes de Caixa no Final do Período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7.20'!$G$7</c:f>
              <c:numCache>
                <c:formatCode>#,##0</c:formatCode>
                <c:ptCount val="1"/>
                <c:pt idx="0">
                  <c:v>1927112568.7299998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0-44CA-89EE-94A73214A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7847456"/>
        <c:axId val="407845104"/>
      </c:barChart>
      <c:catAx>
        <c:axId val="4078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5104"/>
        <c:crosses val="autoZero"/>
        <c:auto val="1"/>
        <c:lblAlgn val="ctr"/>
        <c:lblOffset val="100"/>
        <c:noMultiLvlLbl val="0"/>
      </c:catAx>
      <c:valAx>
        <c:axId val="40784510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407847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7.21'!$A$8</c:f>
              <c:strCache>
                <c:ptCount val="1"/>
                <c:pt idx="0">
                  <c:v>Caixa Líquido Gerado/Consumido no Período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7.21'!$G$5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7.21'!$G$8</c:f>
              <c:numCache>
                <c:formatCode>#,##0</c:formatCode>
                <c:ptCount val="1"/>
                <c:pt idx="0">
                  <c:v>159351526.04999971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794-482C-885D-9F919DE5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7838832"/>
        <c:axId val="407847848"/>
      </c:barChart>
      <c:catAx>
        <c:axId val="40783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7848"/>
        <c:crosses val="autoZero"/>
        <c:auto val="1"/>
        <c:lblAlgn val="ctr"/>
        <c:lblOffset val="100"/>
        <c:noMultiLvlLbl val="0"/>
      </c:catAx>
      <c:valAx>
        <c:axId val="4078478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407838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89363400518858E-2"/>
          <c:y val="4.9052414102095036E-2"/>
          <c:w val="0.61567669237912814"/>
          <c:h val="0.86125645809968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7.22'!$A$6</c:f>
              <c:strCache>
                <c:ptCount val="1"/>
                <c:pt idx="0">
                  <c:v>Caixa e Equivalentes de Caixa no Início do Período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7.22'!$B$5:$F$5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7.22'!$B$6:$F$6</c:f>
              <c:numCache>
                <c:formatCode>#,##0</c:formatCode>
                <c:ptCount val="5"/>
                <c:pt idx="0">
                  <c:v>463693859.32999998</c:v>
                </c:pt>
                <c:pt idx="1">
                  <c:v>476945523.69999999</c:v>
                </c:pt>
                <c:pt idx="2">
                  <c:v>730574886.60000002</c:v>
                </c:pt>
                <c:pt idx="3">
                  <c:v>38140000</c:v>
                </c:pt>
                <c:pt idx="4">
                  <c:v>58406773.049999997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E-44EB-BEA2-CB5C1E5864D8}"/>
            </c:ext>
          </c:extLst>
        </c:ser>
        <c:ser>
          <c:idx val="1"/>
          <c:order val="1"/>
          <c:tx>
            <c:strRef>
              <c:f>'Fig 7.22'!$A$7</c:f>
              <c:strCache>
                <c:ptCount val="1"/>
                <c:pt idx="0">
                  <c:v>Caixa e Equivalentes de Caixa no Final do Período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1973657952504418E-2"/>
                  <c:y val="-1.783724149167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5E-44EB-BEA2-CB5C1E5864D8}"/>
                </c:ext>
              </c:extLst>
            </c:dLbl>
            <c:dLbl>
              <c:idx val="5"/>
              <c:layout>
                <c:manualLayout>
                  <c:x val="-7.3171508870679659E-17"/>
                  <c:y val="-2.2296551864588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5E-44EB-BEA2-CB5C1E586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7.22'!$B$5:$F$5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7.22'!$B$7:$F$7</c:f>
              <c:numCache>
                <c:formatCode>#,##0</c:formatCode>
                <c:ptCount val="5"/>
                <c:pt idx="0">
                  <c:v>504373087.89999998</c:v>
                </c:pt>
                <c:pt idx="1">
                  <c:v>252871806.00999999</c:v>
                </c:pt>
                <c:pt idx="2">
                  <c:v>1028871070.77</c:v>
                </c:pt>
                <c:pt idx="3">
                  <c:v>28366000</c:v>
                </c:pt>
                <c:pt idx="4">
                  <c:v>112630604.05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44EB-BEA2-CB5C1E586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7849808"/>
        <c:axId val="407850200"/>
      </c:barChart>
      <c:catAx>
        <c:axId val="40784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50200"/>
        <c:crosses val="autoZero"/>
        <c:auto val="1"/>
        <c:lblAlgn val="ctr"/>
        <c:lblOffset val="100"/>
        <c:noMultiLvlLbl val="0"/>
      </c:catAx>
      <c:valAx>
        <c:axId val="407850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/>
                  <a:t>Milhões de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defRPr>
              </a:pPr>
              <a:endParaRPr lang="pt-BR"/>
            </a:p>
          </c:txPr>
        </c:title>
        <c:numFmt formatCode="&quot;R$ &quot;#,##0" sourceLinked="0"/>
        <c:majorTickMark val="out"/>
        <c:minorTickMark val="none"/>
        <c:tickLblPos val="nextTo"/>
        <c:crossAx val="4078498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7.23'!$A$8</c:f>
              <c:strCache>
                <c:ptCount val="1"/>
                <c:pt idx="0">
                  <c:v>Caixa Líquido Gerado/Consumido no Período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7.23'!$B$5:$F$5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7.23'!$B$8:$F$8</c:f>
              <c:numCache>
                <c:formatCode>#,##0</c:formatCode>
                <c:ptCount val="5"/>
                <c:pt idx="0">
                  <c:v>40679228.569999993</c:v>
                </c:pt>
                <c:pt idx="1">
                  <c:v>-224073717.69</c:v>
                </c:pt>
                <c:pt idx="2">
                  <c:v>298296184.16999996</c:v>
                </c:pt>
                <c:pt idx="3">
                  <c:v>-9774000</c:v>
                </c:pt>
                <c:pt idx="4">
                  <c:v>54223831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504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7AF-48D2-8E61-BA996DB64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07839224"/>
        <c:axId val="407841184"/>
      </c:barChart>
      <c:catAx>
        <c:axId val="40783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07841184"/>
        <c:crosses val="autoZero"/>
        <c:auto val="1"/>
        <c:lblAlgn val="ctr"/>
        <c:lblOffset val="100"/>
        <c:noMultiLvlLbl val="0"/>
      </c:catAx>
      <c:valAx>
        <c:axId val="407841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/>
                  <a:t>Milhões de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crossAx val="4078392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96123130444111E-2"/>
          <c:y val="4.9052414102095036E-2"/>
          <c:w val="0.87354048169056542"/>
          <c:h val="0.380814572043143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7.24'!$A$6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7.24'!$G$6</c:f>
              <c:numCache>
                <c:formatCode>0.0%</c:formatCode>
                <c:ptCount val="1"/>
                <c:pt idx="0">
                  <c:v>0.22373465565074663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D90-A440-02346D24ED13}"/>
            </c:ext>
          </c:extLst>
        </c:ser>
        <c:ser>
          <c:idx val="1"/>
          <c:order val="1"/>
          <c:tx>
            <c:strRef>
              <c:f>'Fig 7.24'!$A$7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7.24'!$G$7</c:f>
              <c:numCache>
                <c:formatCode>0.0%</c:formatCode>
                <c:ptCount val="1"/>
                <c:pt idx="0">
                  <c:v>0.23829433174447373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F-4D90-A440-02346D24ED13}"/>
            </c:ext>
          </c:extLst>
        </c:ser>
        <c:ser>
          <c:idx val="2"/>
          <c:order val="2"/>
          <c:tx>
            <c:strRef>
              <c:f>'Fig 7.24'!$A$8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7.24'!$G$8</c:f>
              <c:numCache>
                <c:formatCode>0.0%</c:formatCode>
                <c:ptCount val="1"/>
                <c:pt idx="0">
                  <c:v>0.18453105267952255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F-4D90-A440-02346D24ED13}"/>
            </c:ext>
          </c:extLst>
        </c:ser>
        <c:ser>
          <c:idx val="3"/>
          <c:order val="3"/>
          <c:tx>
            <c:strRef>
              <c:f>'Fig 7.24'!$A$9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7.24'!$G$9</c:f>
              <c:numCache>
                <c:formatCode>0.0%</c:formatCode>
                <c:ptCount val="1"/>
                <c:pt idx="0">
                  <c:v>0.11910876153602752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F-4D90-A440-02346D24ED13}"/>
            </c:ext>
          </c:extLst>
        </c:ser>
        <c:ser>
          <c:idx val="4"/>
          <c:order val="4"/>
          <c:tx>
            <c:strRef>
              <c:f>'Fig 7.24'!$A$10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7.24'!$G$10</c:f>
              <c:numCache>
                <c:formatCode>0.0%</c:formatCode>
                <c:ptCount val="1"/>
                <c:pt idx="0">
                  <c:v>0.17320787667400592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F-4D90-A440-02346D24ED13}"/>
            </c:ext>
          </c:extLst>
        </c:ser>
        <c:ser>
          <c:idx val="5"/>
          <c:order val="5"/>
          <c:tx>
            <c:strRef>
              <c:f>'Fig 7.24'!$A$11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7.24'!$G$11</c:f>
              <c:numCache>
                <c:formatCode>0.0%</c:formatCode>
                <c:ptCount val="1"/>
                <c:pt idx="0">
                  <c:v>0.17672404655785695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F-4D90-A440-02346D24ED13}"/>
            </c:ext>
          </c:extLst>
        </c:ser>
        <c:ser>
          <c:idx val="6"/>
          <c:order val="6"/>
          <c:tx>
            <c:strRef>
              <c:f>'Fig 7.24'!$A$12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7.24'!$G$12</c:f>
              <c:numCache>
                <c:formatCode>0.0%</c:formatCode>
                <c:ptCount val="1"/>
                <c:pt idx="0">
                  <c:v>9.7245499851502992E-2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9F-4D90-A440-02346D24ED13}"/>
            </c:ext>
          </c:extLst>
        </c:ser>
        <c:ser>
          <c:idx val="7"/>
          <c:order val="7"/>
          <c:tx>
            <c:strRef>
              <c:f>'Fig 7.24'!$A$13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7.24'!$G$13</c:f>
              <c:numCache>
                <c:formatCode>0.0%</c:formatCode>
                <c:ptCount val="1"/>
                <c:pt idx="0">
                  <c:v>0.15014049835076401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9F-4D90-A440-02346D24ED13}"/>
            </c:ext>
          </c:extLst>
        </c:ser>
        <c:ser>
          <c:idx val="8"/>
          <c:order val="8"/>
          <c:tx>
            <c:strRef>
              <c:f>'Fig 7.24'!$A$14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7.24'!$G$14</c:f>
              <c:numCache>
                <c:formatCode>0.0%</c:formatCode>
                <c:ptCount val="1"/>
                <c:pt idx="0">
                  <c:v>0.18219231053664711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E-495F-B43F-B59FBB9B96A3}"/>
            </c:ext>
          </c:extLst>
        </c:ser>
        <c:ser>
          <c:idx val="9"/>
          <c:order val="9"/>
          <c:tx>
            <c:strRef>
              <c:f>'Fig 7.24'!$A$15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7.24'!$G$15</c:f>
              <c:numCache>
                <c:formatCode>0.0%</c:formatCode>
                <c:ptCount val="1"/>
                <c:pt idx="0">
                  <c:v>0.11319402437561066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5-47F7-B458-A7304C096B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10355344"/>
        <c:axId val="410345544"/>
      </c:barChart>
      <c:catAx>
        <c:axId val="41035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5544"/>
        <c:crosses val="autoZero"/>
        <c:auto val="1"/>
        <c:lblAlgn val="ctr"/>
        <c:lblOffset val="100"/>
        <c:noMultiLvlLbl val="0"/>
      </c:catAx>
      <c:valAx>
        <c:axId val="41034554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7.25'!$A$13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7.25'!$B$13:$F$13</c:f>
              <c:numCache>
                <c:formatCode>0.0%</c:formatCode>
                <c:ptCount val="5"/>
                <c:pt idx="0">
                  <c:v>0.12340803904449565</c:v>
                </c:pt>
                <c:pt idx="1">
                  <c:v>0.18331969418415128</c:v>
                </c:pt>
                <c:pt idx="2">
                  <c:v>0.15884651902814564</c:v>
                </c:pt>
                <c:pt idx="3">
                  <c:v>0.18688142179344283</c:v>
                </c:pt>
                <c:pt idx="4">
                  <c:v>3.8873468662866749E-2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989-BE28-B5FD0215EF92}"/>
            </c:ext>
          </c:extLst>
        </c:ser>
        <c:ser>
          <c:idx val="2"/>
          <c:order val="2"/>
          <c:tx>
            <c:strRef>
              <c:f>'Fig 7.25'!$A$14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7.25'!$B$14:$F$14</c:f>
              <c:numCache>
                <c:formatCode>0.0%</c:formatCode>
                <c:ptCount val="5"/>
                <c:pt idx="0">
                  <c:v>0.15366823253758716</c:v>
                </c:pt>
                <c:pt idx="1">
                  <c:v>0.22435270539631902</c:v>
                </c:pt>
                <c:pt idx="2">
                  <c:v>0.21521220906570229</c:v>
                </c:pt>
                <c:pt idx="3">
                  <c:v>0.14579646918277089</c:v>
                </c:pt>
                <c:pt idx="4">
                  <c:v>5.2649657036259352E-2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4-4989-BE28-B5FD0215EF92}"/>
            </c:ext>
          </c:extLst>
        </c:ser>
        <c:ser>
          <c:idx val="3"/>
          <c:order val="3"/>
          <c:tx>
            <c:strRef>
              <c:f>'Fig 7.25'!$A$15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7.25'!$B$15:$F$15</c:f>
              <c:numCache>
                <c:formatCode>0.0%</c:formatCode>
                <c:ptCount val="5"/>
                <c:pt idx="0">
                  <c:v>9.5566636992320458E-2</c:v>
                </c:pt>
                <c:pt idx="1">
                  <c:v>0.1560882162394345</c:v>
                </c:pt>
                <c:pt idx="2">
                  <c:v>0.16428306764017017</c:v>
                </c:pt>
                <c:pt idx="3">
                  <c:v>-1.1005494200873099E-3</c:v>
                </c:pt>
                <c:pt idx="4">
                  <c:v>2.1982131145809301E-2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4-4989-BE28-B5FD0215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47896"/>
        <c:axId val="41035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7.25'!$A$12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7.25'!$B$5:$F$5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7.25'!$B$12:$F$12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9.7369167279080779E-2</c:v>
                      </c:pt>
                      <c:pt idx="1">
                        <c:v>9.8251846670678794E-2</c:v>
                      </c:pt>
                      <c:pt idx="2">
                        <c:v>6.818431083133053E-2</c:v>
                      </c:pt>
                      <c:pt idx="3">
                        <c:v>0.18512066722851547</c:v>
                      </c:pt>
                      <c:pt idx="4">
                        <c:v>5.7412695139687227E-2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0E4-4989-BE28-B5FD0215EF92}"/>
                  </c:ext>
                </c:extLst>
              </c15:ser>
            </c15:filteredBarSeries>
          </c:ext>
        </c:extLst>
      </c:barChart>
      <c:catAx>
        <c:axId val="4103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2208"/>
        <c:crosses val="autoZero"/>
        <c:auto val="1"/>
        <c:lblAlgn val="ctr"/>
        <c:lblOffset val="100"/>
        <c:noMultiLvlLbl val="0"/>
      </c:catAx>
      <c:valAx>
        <c:axId val="4103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7.26'!$A$6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7.26'!$G$6</c:f>
              <c:numCache>
                <c:formatCode>#,##0</c:formatCode>
                <c:ptCount val="1"/>
                <c:pt idx="0">
                  <c:v>345699.06462999998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5DF-87BE-10961C4C656C}"/>
            </c:ext>
          </c:extLst>
        </c:ser>
        <c:ser>
          <c:idx val="1"/>
          <c:order val="1"/>
          <c:tx>
            <c:strRef>
              <c:f>'Fig 7.26'!$A$7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7.26'!$G$7</c:f>
              <c:numCache>
                <c:formatCode>#,##0</c:formatCode>
                <c:ptCount val="1"/>
                <c:pt idx="0">
                  <c:v>1475814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5DF-87BE-10961C4C656C}"/>
            </c:ext>
          </c:extLst>
        </c:ser>
        <c:ser>
          <c:idx val="2"/>
          <c:order val="2"/>
          <c:tx>
            <c:strRef>
              <c:f>'Fig 7.26'!$A$8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7.26'!$G$8</c:f>
              <c:numCache>
                <c:formatCode>#,##0</c:formatCode>
                <c:ptCount val="1"/>
                <c:pt idx="0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C-45DF-87BE-10961C4C656C}"/>
            </c:ext>
          </c:extLst>
        </c:ser>
        <c:ser>
          <c:idx val="3"/>
          <c:order val="3"/>
          <c:tx>
            <c:strRef>
              <c:f>'Fig 7.26'!$A$9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7.26'!$G$9</c:f>
              <c:numCache>
                <c:formatCode>#,##0</c:formatCode>
                <c:ptCount val="1"/>
                <c:pt idx="0">
                  <c:v>-1995013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C-45DF-87BE-10961C4C656C}"/>
            </c:ext>
          </c:extLst>
        </c:ser>
        <c:ser>
          <c:idx val="4"/>
          <c:order val="4"/>
          <c:tx>
            <c:strRef>
              <c:f>'Fig 7.26'!$A$10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7.26'!$G$10</c:f>
              <c:numCache>
                <c:formatCode>#,##0</c:formatCode>
                <c:ptCount val="1"/>
                <c:pt idx="0">
                  <c:v>-492777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C-45DF-87BE-10961C4C656C}"/>
            </c:ext>
          </c:extLst>
        </c:ser>
        <c:ser>
          <c:idx val="5"/>
          <c:order val="5"/>
          <c:tx>
            <c:strRef>
              <c:f>'Fig 7.26'!$A$11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7.26'!$G$11</c:f>
              <c:numCache>
                <c:formatCode>#,##0</c:formatCode>
                <c:ptCount val="1"/>
                <c:pt idx="0">
                  <c:v>261993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5C-45DF-87BE-10961C4C656C}"/>
            </c:ext>
          </c:extLst>
        </c:ser>
        <c:ser>
          <c:idx val="6"/>
          <c:order val="6"/>
          <c:tx>
            <c:strRef>
              <c:f>'Fig 7.26'!$A$12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7.26'!$G$12</c:f>
              <c:numCache>
                <c:formatCode>#,##0</c:formatCode>
                <c:ptCount val="1"/>
                <c:pt idx="0">
                  <c:v>-1112246.3952100002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5C-45DF-87BE-10961C4C656C}"/>
            </c:ext>
          </c:extLst>
        </c:ser>
        <c:ser>
          <c:idx val="7"/>
          <c:order val="7"/>
          <c:tx>
            <c:strRef>
              <c:f>'Fig 7.26'!$A$13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7.26'!$G$13</c:f>
              <c:numCache>
                <c:formatCode>#,##0</c:formatCode>
                <c:ptCount val="1"/>
                <c:pt idx="0">
                  <c:v>-1022285.1267399999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5C-45DF-87BE-10961C4C656C}"/>
            </c:ext>
          </c:extLst>
        </c:ser>
        <c:ser>
          <c:idx val="8"/>
          <c:order val="8"/>
          <c:tx>
            <c:strRef>
              <c:f>'Fig 7.26'!$A$14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7.26'!$G$14</c:f>
              <c:numCache>
                <c:formatCode>#,##0</c:formatCode>
                <c:ptCount val="1"/>
                <c:pt idx="0">
                  <c:v>1473879.03122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4-47AD-BB22-CC16C1A9A436}"/>
            </c:ext>
          </c:extLst>
        </c:ser>
        <c:ser>
          <c:idx val="9"/>
          <c:order val="9"/>
          <c:tx>
            <c:strRef>
              <c:f>'Fig 7.26'!$A$15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7.26'!$G$5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7.26'!$G$15</c:f>
              <c:numCache>
                <c:formatCode>#,##0</c:formatCode>
                <c:ptCount val="1"/>
                <c:pt idx="0">
                  <c:v>302056.37093000003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3DB-8EF1-5D01CD992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10346720"/>
        <c:axId val="410349856"/>
      </c:barChart>
      <c:catAx>
        <c:axId val="41034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9856"/>
        <c:crosses val="autoZero"/>
        <c:auto val="1"/>
        <c:lblAlgn val="ctr"/>
        <c:lblOffset val="100"/>
        <c:noMultiLvlLbl val="0"/>
      </c:catAx>
      <c:valAx>
        <c:axId val="4103498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7.27'!$A$13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7.27'!$B$13:$F$13</c:f>
              <c:numCache>
                <c:formatCode>#,##0</c:formatCode>
                <c:ptCount val="5"/>
                <c:pt idx="0">
                  <c:v>-1259232.9210899998</c:v>
                </c:pt>
                <c:pt idx="1">
                  <c:v>-109137.91348</c:v>
                </c:pt>
                <c:pt idx="2">
                  <c:v>212394.78875000001</c:v>
                </c:pt>
                <c:pt idx="3">
                  <c:v>167181</c:v>
                </c:pt>
                <c:pt idx="4">
                  <c:v>-33490.08092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C-4073-965D-BD1C849D40BB}"/>
            </c:ext>
          </c:extLst>
        </c:ser>
        <c:ser>
          <c:idx val="2"/>
          <c:order val="2"/>
          <c:tx>
            <c:strRef>
              <c:f>'Fig 7.27'!$A$14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7.27'!$B$14:$F$14</c:f>
              <c:numCache>
                <c:formatCode>#,##0</c:formatCode>
                <c:ptCount val="5"/>
                <c:pt idx="0">
                  <c:v>323879.62861000001</c:v>
                </c:pt>
                <c:pt idx="1">
                  <c:v>390948.87257999997</c:v>
                </c:pt>
                <c:pt idx="2">
                  <c:v>768020.43388999999</c:v>
                </c:pt>
                <c:pt idx="3">
                  <c:v>-26325.870999999999</c:v>
                </c:pt>
                <c:pt idx="4">
                  <c:v>17355.967140000001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C-4073-965D-BD1C849D40BB}"/>
            </c:ext>
          </c:extLst>
        </c:ser>
        <c:ser>
          <c:idx val="3"/>
          <c:order val="3"/>
          <c:tx>
            <c:strRef>
              <c:f>'Fig 7.27'!$A$15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7.27'!$B$5:$F$5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f>'Fig 7.27'!$B$15:$F$15</c:f>
              <c:numCache>
                <c:formatCode>#,##0</c:formatCode>
                <c:ptCount val="5"/>
                <c:pt idx="0">
                  <c:v>-30790.838520000001</c:v>
                </c:pt>
                <c:pt idx="1">
                  <c:v>158604.23522</c:v>
                </c:pt>
                <c:pt idx="2">
                  <c:v>577850.84927999997</c:v>
                </c:pt>
                <c:pt idx="3">
                  <c:v>-409364.94699999999</c:v>
                </c:pt>
                <c:pt idx="4">
                  <c:v>5757.0719500000005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C-4073-965D-BD1C849D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50640"/>
        <c:axId val="4103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7.27'!$A$12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7.27'!$B$5:$F$5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7.27'!$B$12:$F$12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-403227.29449</c:v>
                      </c:pt>
                      <c:pt idx="1">
                        <c:v>-578820.93969000003</c:v>
                      </c:pt>
                      <c:pt idx="2">
                        <c:v>-262138.66937000002</c:v>
                      </c:pt>
                      <c:pt idx="3">
                        <c:v>127349</c:v>
                      </c:pt>
                      <c:pt idx="4">
                        <c:v>4591.5083399999994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CEC-4073-965D-BD1C849D40BB}"/>
                  </c:ext>
                </c:extLst>
              </c15:ser>
            </c15:filteredBarSeries>
          </c:ext>
        </c:extLst>
      </c:barChart>
      <c:catAx>
        <c:axId val="410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5736"/>
        <c:crosses val="autoZero"/>
        <c:auto val="1"/>
        <c:lblAlgn val="ctr"/>
        <c:lblOffset val="100"/>
        <c:noMultiLvlLbl val="0"/>
      </c:catAx>
      <c:valAx>
        <c:axId val="4103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7.28'!$A$6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7.28'!$G$6</c:f>
              <c:numCache>
                <c:formatCode>0.0%</c:formatCode>
                <c:ptCount val="1"/>
                <c:pt idx="0">
                  <c:v>1.2284517785763947E-2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4E22-BB72-78813E9DF195}"/>
            </c:ext>
          </c:extLst>
        </c:ser>
        <c:ser>
          <c:idx val="1"/>
          <c:order val="1"/>
          <c:tx>
            <c:strRef>
              <c:f>'Fig 7.28'!$A$7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7.28'!$G$7</c:f>
              <c:numCache>
                <c:formatCode>0.0%</c:formatCode>
                <c:ptCount val="1"/>
                <c:pt idx="0">
                  <c:v>6.3158619187072357E-2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C-4E22-BB72-78813E9DF195}"/>
            </c:ext>
          </c:extLst>
        </c:ser>
        <c:ser>
          <c:idx val="2"/>
          <c:order val="2"/>
          <c:tx>
            <c:strRef>
              <c:f>'Fig 7.28'!$A$8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7.28'!$G$8</c:f>
              <c:numCache>
                <c:formatCode>0.0%</c:formatCode>
                <c:ptCount val="1"/>
                <c:pt idx="0">
                  <c:v>-8.5055561062140194E-3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C-4E22-BB72-78813E9DF195}"/>
            </c:ext>
          </c:extLst>
        </c:ser>
        <c:ser>
          <c:idx val="3"/>
          <c:order val="3"/>
          <c:tx>
            <c:strRef>
              <c:f>'Fig 7.28'!$A$9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7.28'!$G$9</c:f>
              <c:numCache>
                <c:formatCode>0.0%</c:formatCode>
                <c:ptCount val="1"/>
                <c:pt idx="0">
                  <c:v>-8.434017535268791E-2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C-4E22-BB72-78813E9DF195}"/>
            </c:ext>
          </c:extLst>
        </c:ser>
        <c:ser>
          <c:idx val="4"/>
          <c:order val="4"/>
          <c:tx>
            <c:strRef>
              <c:f>'Fig 7.28'!$A$10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7.28'!$G$10</c:f>
              <c:numCache>
                <c:formatCode>0.0%</c:formatCode>
                <c:ptCount val="1"/>
                <c:pt idx="0">
                  <c:v>-1.4746312629022786E-2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8C-4E22-BB72-78813E9DF195}"/>
            </c:ext>
          </c:extLst>
        </c:ser>
        <c:ser>
          <c:idx val="5"/>
          <c:order val="5"/>
          <c:tx>
            <c:strRef>
              <c:f>'Fig 7.28'!$A$11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7.28'!$G$11</c:f>
              <c:numCache>
                <c:formatCode>0.0%</c:formatCode>
                <c:ptCount val="1"/>
                <c:pt idx="0">
                  <c:v>8.369761021466424E-3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8C-4E22-BB72-78813E9DF195}"/>
            </c:ext>
          </c:extLst>
        </c:ser>
        <c:ser>
          <c:idx val="6"/>
          <c:order val="6"/>
          <c:tx>
            <c:strRef>
              <c:f>'Fig 7.28'!$A$12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7.28'!$G$12</c:f>
              <c:numCache>
                <c:formatCode>0.0%</c:formatCode>
                <c:ptCount val="1"/>
                <c:pt idx="0">
                  <c:v>-3.3085178399482648E-2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8C-4E22-BB72-78813E9DF195}"/>
            </c:ext>
          </c:extLst>
        </c:ser>
        <c:ser>
          <c:idx val="7"/>
          <c:order val="7"/>
          <c:tx>
            <c:strRef>
              <c:f>'Fig 7.28'!$A$13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7.28'!$G$13</c:f>
              <c:numCache>
                <c:formatCode>0.0%</c:formatCode>
                <c:ptCount val="1"/>
                <c:pt idx="0">
                  <c:v>-3.0589816661124151E-2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8C-4E22-BB72-78813E9DF195}"/>
            </c:ext>
          </c:extLst>
        </c:ser>
        <c:ser>
          <c:idx val="8"/>
          <c:order val="8"/>
          <c:tx>
            <c:strRef>
              <c:f>'Fig 7.28'!$A$14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7.28'!$G$14</c:f>
              <c:numCache>
                <c:formatCode>0.0%</c:formatCode>
                <c:ptCount val="1"/>
                <c:pt idx="0">
                  <c:v>4.0693899733654532E-2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49B7-9497-D1275A4F6CFD}"/>
            </c:ext>
          </c:extLst>
        </c:ser>
        <c:ser>
          <c:idx val="9"/>
          <c:order val="9"/>
          <c:tx>
            <c:strRef>
              <c:f>'Fig 7.28'!$A$15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7.28'!$G$5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7.28'!$G$15</c:f>
              <c:numCache>
                <c:formatCode>0.0%</c:formatCode>
                <c:ptCount val="1"/>
                <c:pt idx="0">
                  <c:v>7.2051542055285465E-3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444B-BC15-6A7758F82E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10351032"/>
        <c:axId val="410356128"/>
      </c:barChart>
      <c:catAx>
        <c:axId val="410351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6128"/>
        <c:crosses val="autoZero"/>
        <c:auto val="1"/>
        <c:lblAlgn val="ctr"/>
        <c:lblOffset val="100"/>
        <c:noMultiLvlLbl val="0"/>
      </c:catAx>
      <c:valAx>
        <c:axId val="410356128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1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7.29'!$A$13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7.29'!$B$5:$G$5</c15:sqref>
                  </c15:fullRef>
                </c:ext>
              </c:extLst>
              <c:f>'Fig 7.29'!$B$5:$F$5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7.29'!$B$13:$G$13</c15:sqref>
                  </c15:fullRef>
                </c:ext>
              </c:extLst>
              <c:f>'Fig 7.29'!$B$13:$F$13</c:f>
              <c:numCache>
                <c:formatCode>0.0%</c:formatCode>
                <c:ptCount val="5"/>
                <c:pt idx="0">
                  <c:v>-9.092630262385544E-2</c:v>
                </c:pt>
                <c:pt idx="1">
                  <c:v>-1.2033018318390694E-2</c:v>
                </c:pt>
                <c:pt idx="2">
                  <c:v>3.1843816191302637E-2</c:v>
                </c:pt>
                <c:pt idx="3">
                  <c:v>5.6568628048099624E-2</c:v>
                </c:pt>
                <c:pt idx="4">
                  <c:v>-3.8271546119118025E-2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9-4747-AED0-754D125FA33E}"/>
            </c:ext>
          </c:extLst>
        </c:ser>
        <c:ser>
          <c:idx val="2"/>
          <c:order val="2"/>
          <c:tx>
            <c:strRef>
              <c:f>'Fig 7.29'!$A$14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7.29'!$B$5:$G$5</c15:sqref>
                  </c15:fullRef>
                </c:ext>
              </c:extLst>
              <c:f>'Fig 7.29'!$B$5:$F$5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7.29'!$B$14:$G$14</c15:sqref>
                  </c15:fullRef>
                </c:ext>
              </c:extLst>
              <c:f>'Fig 7.29'!$B$14:$F$14</c:f>
              <c:numCache>
                <c:formatCode>0.0%</c:formatCode>
                <c:ptCount val="5"/>
                <c:pt idx="0">
                  <c:v>2.2402596713414817E-2</c:v>
                </c:pt>
                <c:pt idx="1">
                  <c:v>4.0917285499011059E-2</c:v>
                </c:pt>
                <c:pt idx="2">
                  <c:v>9.8872968714783474E-2</c:v>
                </c:pt>
                <c:pt idx="3">
                  <c:v>-7.4735973680689748E-3</c:v>
                </c:pt>
                <c:pt idx="4">
                  <c:v>1.8936057366462439E-2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9-4747-AED0-754D125FA33E}"/>
            </c:ext>
          </c:extLst>
        </c:ser>
        <c:ser>
          <c:idx val="3"/>
          <c:order val="3"/>
          <c:tx>
            <c:strRef>
              <c:f>'Fig 7.29'!$A$15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7.29'!$B$5:$G$5</c15:sqref>
                  </c15:fullRef>
                </c:ext>
              </c:extLst>
              <c:f>'Fig 7.29'!$B$5:$F$5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7.29'!$B$15:$G$15</c15:sqref>
                  </c15:fullRef>
                </c:ext>
              </c:extLst>
              <c:f>'Fig 7.29'!$B$15:$F$15</c:f>
              <c:numCache>
                <c:formatCode>0.0%</c:formatCode>
                <c:ptCount val="5"/>
                <c:pt idx="0">
                  <c:v>-1.8778423110182828E-3</c:v>
                </c:pt>
                <c:pt idx="1">
                  <c:v>1.4932342019564407E-2</c:v>
                </c:pt>
                <c:pt idx="2">
                  <c:v>6.3338259748091416E-2</c:v>
                </c:pt>
                <c:pt idx="3">
                  <c:v>-8.9643731290064449E-2</c:v>
                </c:pt>
                <c:pt idx="4">
                  <c:v>4.7422854201263163E-3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9-4747-AED0-754D125F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56912"/>
        <c:axId val="410345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7.29'!$A$12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7.29'!$B$5:$G$5</c15:sqref>
                        </c15:fullRef>
                        <c15:formulaRef>
                          <c15:sqref>'Fig 7.29'!$B$5:$F$5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7.29'!$B$12:$G$12</c15:sqref>
                        </c15:fullRef>
                        <c15:formulaRef>
                          <c15:sqref>'Fig 7.29'!$B$12:$F$12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-2.8772519180024585E-2</c:v>
                      </c:pt>
                      <c:pt idx="1">
                        <c:v>-6.2680234436539223E-2</c:v>
                      </c:pt>
                      <c:pt idx="2">
                        <c:v>-4.1453456816937247E-2</c:v>
                      </c:pt>
                      <c:pt idx="3">
                        <c:v>4.8563948754812104E-2</c:v>
                      </c:pt>
                      <c:pt idx="4">
                        <c:v>4.4113550330866502E-3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0C9-4747-AED0-754D125FA33E}"/>
                  </c:ext>
                </c:extLst>
              </c15:ser>
            </c15:filteredBarSeries>
          </c:ext>
        </c:extLst>
      </c:barChart>
      <c:catAx>
        <c:axId val="4103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5936"/>
        <c:crosses val="autoZero"/>
        <c:auto val="1"/>
        <c:lblAlgn val="ctr"/>
        <c:lblOffset val="100"/>
        <c:noMultiLvlLbl val="0"/>
      </c:catAx>
      <c:valAx>
        <c:axId val="4103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>
              <a:noFill/>
            </a:ln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2.15'!$A$6:$A$15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2.15'!$B$6:$B$15</c:f>
              <c:numCache>
                <c:formatCode>0.0%</c:formatCode>
                <c:ptCount val="10"/>
                <c:pt idx="0">
                  <c:v>0.14524226718789587</c:v>
                </c:pt>
                <c:pt idx="1">
                  <c:v>0.19005835302936833</c:v>
                </c:pt>
                <c:pt idx="2">
                  <c:v>0.13008812383897064</c:v>
                </c:pt>
                <c:pt idx="3">
                  <c:v>2.7930790715264161E-2</c:v>
                </c:pt>
                <c:pt idx="4">
                  <c:v>-2.8757858989837418E-2</c:v>
                </c:pt>
                <c:pt idx="5">
                  <c:v>9.9461591837671573E-3</c:v>
                </c:pt>
                <c:pt idx="6">
                  <c:v>9.9272428959671418E-3</c:v>
                </c:pt>
                <c:pt idx="7">
                  <c:v>-5.8946505318485838E-2</c:v>
                </c:pt>
                <c:pt idx="8">
                  <c:v>1.4025045272387071E-2</c:v>
                </c:pt>
                <c:pt idx="9">
                  <c:v>4.5665929372045222E-2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44EE-8752-5AD709531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95168"/>
        <c:axId val="134595560"/>
      </c:barChart>
      <c:catAx>
        <c:axId val="1345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4595560"/>
        <c:crosses val="autoZero"/>
        <c:auto val="1"/>
        <c:lblAlgn val="ctr"/>
        <c:lblOffset val="100"/>
        <c:noMultiLvlLbl val="0"/>
      </c:catAx>
      <c:valAx>
        <c:axId val="1345955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45951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7.30'!$A$6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7.30'!$G$6</c:f>
              <c:numCache>
                <c:formatCode>0.0%</c:formatCode>
                <c:ptCount val="1"/>
                <c:pt idx="0">
                  <c:v>9.8367240719059348E-2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0-41AF-A7D5-84A110BAE610}"/>
            </c:ext>
          </c:extLst>
        </c:ser>
        <c:ser>
          <c:idx val="1"/>
          <c:order val="1"/>
          <c:tx>
            <c:strRef>
              <c:f>'Fig 7.30'!$A$7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7.30'!$G$7</c:f>
              <c:numCache>
                <c:formatCode>0.0%</c:formatCode>
                <c:ptCount val="1"/>
                <c:pt idx="0">
                  <c:v>3.8355846408083573E-2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0-41AF-A7D5-84A110BAE610}"/>
            </c:ext>
          </c:extLst>
        </c:ser>
        <c:ser>
          <c:idx val="2"/>
          <c:order val="2"/>
          <c:tx>
            <c:strRef>
              <c:f>'Fig 7.30'!$A$8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7.30'!$G$8</c:f>
              <c:numCache>
                <c:formatCode>0.0%</c:formatCode>
                <c:ptCount val="1"/>
                <c:pt idx="0">
                  <c:v>-5.9517057776374394E-2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0-41AF-A7D5-84A110BAE610}"/>
            </c:ext>
          </c:extLst>
        </c:ser>
        <c:ser>
          <c:idx val="3"/>
          <c:order val="3"/>
          <c:tx>
            <c:strRef>
              <c:f>'Fig 7.30'!$A$9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7.30'!$G$9</c:f>
              <c:numCache>
                <c:formatCode>0.0%</c:formatCode>
                <c:ptCount val="1"/>
                <c:pt idx="0">
                  <c:v>-0.11867595783156737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0-41AF-A7D5-84A110BAE610}"/>
            </c:ext>
          </c:extLst>
        </c:ser>
        <c:ser>
          <c:idx val="4"/>
          <c:order val="4"/>
          <c:tx>
            <c:strRef>
              <c:f>'Fig 7.30'!$A$10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7.30'!$G$10</c:f>
              <c:numCache>
                <c:formatCode>0.0%</c:formatCode>
                <c:ptCount val="1"/>
                <c:pt idx="0">
                  <c:v>-7.6272305814291563E-2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0-41AF-A7D5-84A110BAE610}"/>
            </c:ext>
          </c:extLst>
        </c:ser>
        <c:ser>
          <c:idx val="5"/>
          <c:order val="5"/>
          <c:tx>
            <c:strRef>
              <c:f>'Fig 7.30'!$A$11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7.30'!$G$11</c:f>
              <c:numCache>
                <c:formatCode>0.0%</c:formatCode>
                <c:ptCount val="1"/>
                <c:pt idx="0">
                  <c:v>-4.950448928050584E-2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0-41AF-A7D5-84A110BAE610}"/>
            </c:ext>
          </c:extLst>
        </c:ser>
        <c:ser>
          <c:idx val="6"/>
          <c:order val="6"/>
          <c:tx>
            <c:strRef>
              <c:f>'Fig 7.30'!$A$12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7.30'!$G$12</c:f>
              <c:numCache>
                <c:formatCode>0.0%</c:formatCode>
                <c:ptCount val="1"/>
                <c:pt idx="0">
                  <c:v>-0.17668746914841915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0-41AF-A7D5-84A110BAE610}"/>
            </c:ext>
          </c:extLst>
        </c:ser>
        <c:ser>
          <c:idx val="7"/>
          <c:order val="7"/>
          <c:tx>
            <c:strRef>
              <c:f>'Fig 7.30'!$A$13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7.30'!$G$13</c:f>
              <c:numCache>
                <c:formatCode>0.0%</c:formatCode>
                <c:ptCount val="1"/>
                <c:pt idx="0">
                  <c:v>-4.7937694909784861E-2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0-41AF-A7D5-84A110BAE610}"/>
            </c:ext>
          </c:extLst>
        </c:ser>
        <c:ser>
          <c:idx val="8"/>
          <c:order val="8"/>
          <c:tx>
            <c:strRef>
              <c:f>'Fig 7.30'!$A$14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7.30'!$G$14</c:f>
              <c:numCache>
                <c:formatCode>0.0%</c:formatCode>
                <c:ptCount val="1"/>
                <c:pt idx="0">
                  <c:v>1.1422569039471451E-2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4-49C4-BECB-72B16AACFFC5}"/>
            </c:ext>
          </c:extLst>
        </c:ser>
        <c:ser>
          <c:idx val="9"/>
          <c:order val="9"/>
          <c:tx>
            <c:strRef>
              <c:f>'Fig 7.30'!$A$15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7.30'!$G$5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7.30'!$G$15</c:f>
              <c:numCache>
                <c:formatCode>0.0%</c:formatCode>
                <c:ptCount val="1"/>
                <c:pt idx="0">
                  <c:v>-4.6941394398548705E-2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F-4186-ACAD-B06CB7E35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410347112"/>
        <c:axId val="410349464"/>
      </c:barChart>
      <c:catAx>
        <c:axId val="410347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9464"/>
        <c:crosses val="autoZero"/>
        <c:auto val="1"/>
        <c:lblAlgn val="ctr"/>
        <c:lblOffset val="100"/>
        <c:noMultiLvlLbl val="0"/>
      </c:catAx>
      <c:valAx>
        <c:axId val="41034946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7.31'!$A$13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7.31'!$B$5:$G$5</c15:sqref>
                  </c15:fullRef>
                </c:ext>
              </c:extLst>
              <c:f>'Fig 7.31'!$B$5:$F$5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7.31'!$B$13:$G$13</c15:sqref>
                  </c15:fullRef>
                </c:ext>
              </c:extLst>
              <c:f>'Fig 7.31'!$B$13:$F$13</c:f>
              <c:numCache>
                <c:formatCode>0.0%</c:formatCode>
                <c:ptCount val="5"/>
                <c:pt idx="0">
                  <c:v>-4.7028736778017249E-2</c:v>
                </c:pt>
                <c:pt idx="1">
                  <c:v>-3.3610966780359956E-2</c:v>
                </c:pt>
                <c:pt idx="2">
                  <c:v>-8.2319783211956279E-2</c:v>
                </c:pt>
                <c:pt idx="3">
                  <c:v>-2.4160459313668763E-2</c:v>
                </c:pt>
                <c:pt idx="4">
                  <c:v>-2.9053739717870758E-2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4C23-A5F0-5495D0C0FAA4}"/>
            </c:ext>
          </c:extLst>
        </c:ser>
        <c:ser>
          <c:idx val="2"/>
          <c:order val="2"/>
          <c:tx>
            <c:strRef>
              <c:f>'Fig 7.31'!$A$14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7.31'!$B$5:$G$5</c15:sqref>
                  </c15:fullRef>
                </c:ext>
              </c:extLst>
              <c:f>'Fig 7.31'!$B$5:$F$5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7.31'!$B$14:$G$14</c15:sqref>
                  </c15:fullRef>
                </c:ext>
              </c:extLst>
              <c:f>'Fig 7.31'!$B$14:$F$14</c:f>
              <c:numCache>
                <c:formatCode>0.0%</c:formatCode>
                <c:ptCount val="5"/>
                <c:pt idx="0">
                  <c:v>8.3355802769567149E-3</c:v>
                </c:pt>
                <c:pt idx="1">
                  <c:v>-3.0104738977778803E-3</c:v>
                </c:pt>
                <c:pt idx="2">
                  <c:v>3.5864504224787833E-2</c:v>
                </c:pt>
                <c:pt idx="3">
                  <c:v>1.1805383023446725E-2</c:v>
                </c:pt>
                <c:pt idx="4">
                  <c:v>1.9572274596141486E-3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3-4C23-A5F0-5495D0C0FAA4}"/>
            </c:ext>
          </c:extLst>
        </c:ser>
        <c:ser>
          <c:idx val="3"/>
          <c:order val="3"/>
          <c:tx>
            <c:strRef>
              <c:f>'Fig 7.31'!$A$15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7.31'!$B$5:$G$5</c15:sqref>
                  </c15:fullRef>
                </c:ext>
              </c:extLst>
              <c:f>'Fig 7.31'!$B$5:$F$5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 Brasil</c:v>
                </c:pt>
                <c:pt idx="4">
                  <c:v>Absa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7.31'!$B$15:$G$15</c15:sqref>
                  </c15:fullRef>
                </c:ext>
              </c:extLst>
              <c:f>'Fig 7.31'!$B$15:$F$15</c:f>
              <c:numCache>
                <c:formatCode>0.0%</c:formatCode>
                <c:ptCount val="5"/>
                <c:pt idx="0">
                  <c:v>-2.7008719373731702E-2</c:v>
                </c:pt>
                <c:pt idx="1">
                  <c:v>-0.10998435034988154</c:v>
                </c:pt>
                <c:pt idx="2">
                  <c:v>1.866166762953184E-2</c:v>
                </c:pt>
                <c:pt idx="3">
                  <c:v>-0.1077192988300282</c:v>
                </c:pt>
                <c:pt idx="4">
                  <c:v>-2.8974590453461194E-2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3-4C23-A5F0-5495D0C0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48288"/>
        <c:axId val="410348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7.31'!$A$12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 7.31'!$B$5:$G$5</c15:sqref>
                        </c15:fullRef>
                        <c15:formulaRef>
                          <c15:sqref>'Fig 7.31'!$B$5:$F$5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 Brasil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 7.31'!$B$12:$G$12</c15:sqref>
                        </c15:fullRef>
                        <c15:formulaRef>
                          <c15:sqref>'Fig 7.31'!$B$12:$F$12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-0.11209806990659893</c:v>
                      </c:pt>
                      <c:pt idx="1">
                        <c:v>-0.37832857700361006</c:v>
                      </c:pt>
                      <c:pt idx="2">
                        <c:v>-0.1193285313882512</c:v>
                      </c:pt>
                      <c:pt idx="3">
                        <c:v>-4.7313517357886886E-3</c:v>
                      </c:pt>
                      <c:pt idx="4">
                        <c:v>-3.9067956620512607E-2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E3-4C23-A5F0-5495D0C0FAA4}"/>
                  </c:ext>
                </c:extLst>
              </c15:ser>
            </c15:filteredBarSeries>
          </c:ext>
        </c:extLst>
      </c:barChart>
      <c:catAx>
        <c:axId val="410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8680"/>
        <c:crosses val="autoZero"/>
        <c:auto val="1"/>
        <c:lblAlgn val="ctr"/>
        <c:lblOffset val="100"/>
        <c:noMultiLvlLbl val="0"/>
      </c:catAx>
      <c:valAx>
        <c:axId val="4103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4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7.32'!$A$6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7.32'!$F$6</c:f>
              <c:numCache>
                <c:formatCode>_(* #,##0.000_);_(* \(#,##0.000\);_(* "-"??_);_(@_)</c:formatCode>
                <c:ptCount val="1"/>
                <c:pt idx="0">
                  <c:v>0.14781102253670242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9-41A1-994E-019E20B0CFBF}"/>
            </c:ext>
          </c:extLst>
        </c:ser>
        <c:ser>
          <c:idx val="1"/>
          <c:order val="1"/>
          <c:tx>
            <c:strRef>
              <c:f>'Fig 7.32'!$A$7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7.32'!$F$7</c:f>
              <c:numCache>
                <c:formatCode>_(* #,##0.000_);_(* \(#,##0.000\);_(* "-"??_);_(@_)</c:formatCode>
                <c:ptCount val="1"/>
                <c:pt idx="0">
                  <c:v>0.15780107695278231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9-41A1-994E-019E20B0CFBF}"/>
            </c:ext>
          </c:extLst>
        </c:ser>
        <c:ser>
          <c:idx val="2"/>
          <c:order val="2"/>
          <c:tx>
            <c:strRef>
              <c:f>'Fig 7.32'!$A$8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7.32'!$F$8</c:f>
              <c:numCache>
                <c:formatCode>_(* #,##0.000_);_(* \(#,##0.000\);_(* "-"??_);_(@_)</c:formatCode>
                <c:ptCount val="1"/>
                <c:pt idx="0">
                  <c:v>0.16406192544862022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9-41A1-994E-019E20B0CFBF}"/>
            </c:ext>
          </c:extLst>
        </c:ser>
        <c:ser>
          <c:idx val="3"/>
          <c:order val="3"/>
          <c:tx>
            <c:strRef>
              <c:f>'Fig 7.32'!$A$9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7.32'!$F$9</c:f>
              <c:numCache>
                <c:formatCode>_(* #,##0.000_);_(* \(#,##0.000\);_(* "-"??_);_(@_)</c:formatCode>
                <c:ptCount val="1"/>
                <c:pt idx="0">
                  <c:v>0.17460873046968839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9-41A1-994E-019E20B0CFBF}"/>
            </c:ext>
          </c:extLst>
        </c:ser>
        <c:ser>
          <c:idx val="4"/>
          <c:order val="4"/>
          <c:tx>
            <c:strRef>
              <c:f>'Fig 7.32'!$A$10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7.32'!$F$10</c:f>
              <c:numCache>
                <c:formatCode>_(* #,##0.000_);_(* \(#,##0.000\);_(* "-"??_);_(@_)</c:formatCode>
                <c:ptCount val="1"/>
                <c:pt idx="0">
                  <c:v>0.2051875623263488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9-41A1-994E-019E20B0CFBF}"/>
            </c:ext>
          </c:extLst>
        </c:ser>
        <c:ser>
          <c:idx val="5"/>
          <c:order val="5"/>
          <c:tx>
            <c:strRef>
              <c:f>'Fig 7.32'!$A$11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7.32'!$F$11</c:f>
              <c:numCache>
                <c:formatCode>_(* #,##0.000_);_(* \(#,##0.000\);_(* "-"??_);_(@_)</c:formatCode>
                <c:ptCount val="1"/>
                <c:pt idx="0">
                  <c:v>0.21559212051620508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9-41A1-994E-019E20B0CFBF}"/>
            </c:ext>
          </c:extLst>
        </c:ser>
        <c:ser>
          <c:idx val="6"/>
          <c:order val="6"/>
          <c:tx>
            <c:strRef>
              <c:f>'Fig 7.32'!$A$12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7.32'!$F$12</c:f>
              <c:numCache>
                <c:formatCode>_(* #,##0.000_);_(* \(#,##0.000\);_(* "-"??_);_(@_)</c:formatCode>
                <c:ptCount val="1"/>
                <c:pt idx="0">
                  <c:v>0.22330116599471411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9-41A1-994E-019E20B0CFBF}"/>
            </c:ext>
          </c:extLst>
        </c:ser>
        <c:ser>
          <c:idx val="7"/>
          <c:order val="7"/>
          <c:tx>
            <c:strRef>
              <c:f>'Fig 7.32'!$A$13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7.32'!$F$13</c:f>
              <c:numCache>
                <c:formatCode>_(* #,##0.000_);_(* \(#,##0.000\);_(* "-"??_);_(@_)</c:formatCode>
                <c:ptCount val="1"/>
                <c:pt idx="0">
                  <c:v>0.23679116328918789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89-41A1-994E-019E20B0CFBF}"/>
            </c:ext>
          </c:extLst>
        </c:ser>
        <c:ser>
          <c:idx val="8"/>
          <c:order val="8"/>
          <c:tx>
            <c:strRef>
              <c:f>'Fig 7.32'!$A$14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7.32'!$F$14</c:f>
              <c:numCache>
                <c:formatCode>_(* #,##0.000_);_(* \(#,##0.000\);_(* "-"??_);_(@_)</c:formatCode>
                <c:ptCount val="1"/>
                <c:pt idx="0">
                  <c:v>0.24252607105890478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E15-9705-A9026A810C2B}"/>
            </c:ext>
          </c:extLst>
        </c:ser>
        <c:ser>
          <c:idx val="9"/>
          <c:order val="9"/>
          <c:tx>
            <c:strRef>
              <c:f>'Fig 7.32'!$A$15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7.32'!$F$5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7.32'!$F$15</c:f>
              <c:numCache>
                <c:formatCode>_(* #,##0.000_);_(* \(#,##0.000\);_(* "-"??_);_(@_)</c:formatCode>
                <c:ptCount val="1"/>
                <c:pt idx="0">
                  <c:v>0.25439489048569275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3-492D-B75F-4DFFAD06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60440"/>
        <c:axId val="410361224"/>
      </c:barChart>
      <c:catAx>
        <c:axId val="4103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61224"/>
        <c:crosses val="autoZero"/>
        <c:auto val="1"/>
        <c:lblAlgn val="ctr"/>
        <c:lblOffset val="100"/>
        <c:noMultiLvlLbl val="0"/>
      </c:catAx>
      <c:valAx>
        <c:axId val="41036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60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'Fig 7.33'!$A$13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7.33'!$B$5:$E$5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7.33'!$B$13:$E$13</c:f>
              <c:numCache>
                <c:formatCode>_(* #,##0.000_);_(* \(#,##0.000\);_(* "-"??_);_(@_)</c:formatCode>
                <c:ptCount val="4"/>
                <c:pt idx="0">
                  <c:v>0.2093968378631097</c:v>
                </c:pt>
                <c:pt idx="1">
                  <c:v>0.20733011332796156</c:v>
                </c:pt>
                <c:pt idx="2">
                  <c:v>0.30704695535191157</c:v>
                </c:pt>
                <c:pt idx="3">
                  <c:v>0.25649966050487216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BEA-9E0A-2ED1EC37220A}"/>
            </c:ext>
          </c:extLst>
        </c:ser>
        <c:ser>
          <c:idx val="3"/>
          <c:order val="3"/>
          <c:tx>
            <c:strRef>
              <c:f>'Fig 7.33'!$A$14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7.33'!$B$5:$E$5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7.33'!$B$14:$E$14</c:f>
              <c:numCache>
                <c:formatCode>_(* #,##0.000_);_(* \(#,##0.000\);_(* "-"??_);_(@_)</c:formatCode>
                <c:ptCount val="4"/>
                <c:pt idx="0">
                  <c:v>0.21807007904880601</c:v>
                </c:pt>
                <c:pt idx="1">
                  <c:v>0.2154345831961047</c:v>
                </c:pt>
                <c:pt idx="2">
                  <c:v>0.32020061724833326</c:v>
                </c:pt>
                <c:pt idx="3">
                  <c:v>0.24567285139861708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1-4BEA-9E0A-2ED1EC37220A}"/>
            </c:ext>
          </c:extLst>
        </c:ser>
        <c:ser>
          <c:idx val="4"/>
          <c:order val="4"/>
          <c:tx>
            <c:strRef>
              <c:f>'Fig 7.33'!$A$15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7.33'!$B$5:$E$5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7.33'!$B$15:$E$15</c:f>
              <c:numCache>
                <c:formatCode>_(* #,##0.000_);_(* \(#,##0.000\);_(* "-"??_);_(@_)</c:formatCode>
                <c:ptCount val="4"/>
                <c:pt idx="0">
                  <c:v>0.22531820354641047</c:v>
                </c:pt>
                <c:pt idx="1">
                  <c:v>0.23239473254568874</c:v>
                </c:pt>
                <c:pt idx="2">
                  <c:v>0.32450891614891481</c:v>
                </c:pt>
                <c:pt idx="3">
                  <c:v>0.24890670143950036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90F-8662-5DD8C636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0359264"/>
        <c:axId val="410358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7.33'!$A$11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1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7.33'!$B$5:$E$5</c15:sqref>
                        </c15:formulaRef>
                      </c:ext>
                    </c:extLst>
                    <c:strCache>
                      <c:ptCount val="4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7.33'!$B$11:$E$11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4"/>
                      <c:pt idx="0">
                        <c:v>0.1907853737788483</c:v>
                      </c:pt>
                      <c:pt idx="1">
                        <c:v>0.19518109174214876</c:v>
                      </c:pt>
                      <c:pt idx="2">
                        <c:v>0.27176570941871042</c:v>
                      </c:pt>
                      <c:pt idx="3">
                        <c:v>0.23476446968812489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01-4BEA-9E0A-2ED1EC3722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7.33'!$A$12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7.33'!$B$5:$E$5</c15:sqref>
                        </c15:formulaRef>
                      </c:ext>
                    </c:extLst>
                    <c:strCache>
                      <c:ptCount val="4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7.33'!$B$12:$E$12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4"/>
                      <c:pt idx="0">
                        <c:v>0.19639363915005603</c:v>
                      </c:pt>
                      <c:pt idx="1">
                        <c:v>0.195518918362515</c:v>
                      </c:pt>
                      <c:pt idx="2">
                        <c:v>0.28390227032674764</c:v>
                      </c:pt>
                      <c:pt idx="3">
                        <c:v>0.25943998169931798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01-4BEA-9E0A-2ED1EC37220A}"/>
                  </c:ext>
                </c:extLst>
              </c15:ser>
            </c15:filteredBarSeries>
          </c:ext>
        </c:extLst>
      </c:barChart>
      <c:catAx>
        <c:axId val="4103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8088"/>
        <c:crosses val="autoZero"/>
        <c:auto val="1"/>
        <c:lblAlgn val="ctr"/>
        <c:lblOffset val="100"/>
        <c:noMultiLvlLbl val="0"/>
      </c:catAx>
      <c:valAx>
        <c:axId val="4103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035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7.34'!$A$7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7.34'!$F$7</c:f>
              <c:numCache>
                <c:formatCode>_(* #,##0.000_);_(* \(#,##0.000\);_(* "-"??_);_(@_)</c:formatCode>
                <c:ptCount val="1"/>
                <c:pt idx="0">
                  <c:v>0.1569856977208671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7-418A-8222-AC4B8BAF3DA3}"/>
            </c:ext>
          </c:extLst>
        </c:ser>
        <c:ser>
          <c:idx val="1"/>
          <c:order val="1"/>
          <c:tx>
            <c:strRef>
              <c:f>'Fig 7.34'!$A$8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7.34'!$F$8</c:f>
              <c:numCache>
                <c:formatCode>_(* #,##0.000_);_(* \(#,##0.000\);_(* "-"??_);_(@_)</c:formatCode>
                <c:ptCount val="1"/>
                <c:pt idx="0">
                  <c:v>0.17130638567786016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7-418A-8222-AC4B8BAF3DA3}"/>
            </c:ext>
          </c:extLst>
        </c:ser>
        <c:ser>
          <c:idx val="2"/>
          <c:order val="2"/>
          <c:tx>
            <c:strRef>
              <c:f>'Fig 7.34'!$A$9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7.34'!$F$9</c:f>
              <c:numCache>
                <c:formatCode>_(* #,##0.000_);_(* \(#,##0.000\);_(* "-"??_);_(@_)</c:formatCode>
                <c:ptCount val="1"/>
                <c:pt idx="0">
                  <c:v>0.19510442453433635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7-418A-8222-AC4B8BAF3DA3}"/>
            </c:ext>
          </c:extLst>
        </c:ser>
        <c:ser>
          <c:idx val="3"/>
          <c:order val="3"/>
          <c:tx>
            <c:strRef>
              <c:f>'Fig 7.34'!$A$10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7.34'!$F$10</c:f>
              <c:numCache>
                <c:formatCode>_(* #,##0.000_);_(* \(#,##0.000\);_(* "-"??_);_(@_)</c:formatCode>
                <c:ptCount val="1"/>
                <c:pt idx="0">
                  <c:v>0.208889688863894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7-418A-8222-AC4B8BAF3DA3}"/>
            </c:ext>
          </c:extLst>
        </c:ser>
        <c:ser>
          <c:idx val="4"/>
          <c:order val="4"/>
          <c:tx>
            <c:strRef>
              <c:f>'Fig 7.34'!$A$11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7.34'!$F$11</c:f>
              <c:numCache>
                <c:formatCode>_(* #,##0.000_);_(* \(#,##0.000\);_(* "-"??_);_(@_)</c:formatCode>
                <c:ptCount val="1"/>
                <c:pt idx="0">
                  <c:v>0.21974926500966577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7-418A-8222-AC4B8BAF3DA3}"/>
            </c:ext>
          </c:extLst>
        </c:ser>
        <c:ser>
          <c:idx val="5"/>
          <c:order val="5"/>
          <c:tx>
            <c:strRef>
              <c:f>'Fig 7.34'!$A$12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7.34'!$F$12</c:f>
              <c:numCache>
                <c:formatCode>_(* #,##0.000_);_(* \(#,##0.000\);_(* "-"??_);_(@_)</c:formatCode>
                <c:ptCount val="1"/>
                <c:pt idx="0">
                  <c:v>0.22166565068473276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C7-418A-8222-AC4B8BAF3DA3}"/>
            </c:ext>
          </c:extLst>
        </c:ser>
        <c:ser>
          <c:idx val="6"/>
          <c:order val="6"/>
          <c:tx>
            <c:strRef>
              <c:f>'Fig 7.34'!$A$13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7.34'!$F$13</c:f>
              <c:numCache>
                <c:formatCode>_(* #,##0.000_);_(* \(#,##0.000\);_(* "-"??_);_(@_)</c:formatCode>
                <c:ptCount val="1"/>
                <c:pt idx="0">
                  <c:v>0.22685021605098429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7-418A-8222-AC4B8BAF3DA3}"/>
            </c:ext>
          </c:extLst>
        </c:ser>
        <c:ser>
          <c:idx val="7"/>
          <c:order val="7"/>
          <c:tx>
            <c:strRef>
              <c:f>'Fig 7.34'!$A$14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7.34'!$F$14</c:f>
              <c:numCache>
                <c:formatCode>_(* #,##0.000_);_(* \(#,##0.000\);_(* "-"??_);_(@_)</c:formatCode>
                <c:ptCount val="1"/>
                <c:pt idx="0">
                  <c:v>0.22223416752610109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C7-418A-8222-AC4B8BAF3DA3}"/>
            </c:ext>
          </c:extLst>
        </c:ser>
        <c:ser>
          <c:idx val="8"/>
          <c:order val="8"/>
          <c:tx>
            <c:strRef>
              <c:f>'Fig 7.34'!$A$15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7.34'!$F$5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7.34'!$F$15</c:f>
              <c:numCache>
                <c:formatCode>_(* #,##0.000_);_(* \(#,##0.000\);_(* "-"??_);_(@_)</c:formatCode>
                <c:ptCount val="1"/>
                <c:pt idx="0">
                  <c:v>0.24677386707906365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9-4986-8C09-81474695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36144"/>
        <c:axId val="414029480"/>
      </c:barChart>
      <c:catAx>
        <c:axId val="414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9480"/>
        <c:crosses val="autoZero"/>
        <c:auto val="1"/>
        <c:lblAlgn val="ctr"/>
        <c:lblOffset val="100"/>
        <c:noMultiLvlLbl val="0"/>
      </c:catAx>
      <c:valAx>
        <c:axId val="41402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7.35'!$A$13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7.35'!$B$5:$E$5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7.35'!$B$13:$E$13</c:f>
              <c:numCache>
                <c:formatCode>_(* #,##0.000_);_(* \(#,##0.000\);_(* "-"??_);_(@_)</c:formatCode>
                <c:ptCount val="4"/>
                <c:pt idx="0">
                  <c:v>0.21415487604649952</c:v>
                </c:pt>
                <c:pt idx="1">
                  <c:v>0.18789075219535062</c:v>
                </c:pt>
                <c:pt idx="2">
                  <c:v>0.28663519194685066</c:v>
                </c:pt>
                <c:pt idx="3">
                  <c:v>0.22932890591815092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6B8-8495-DA27A8DD41A9}"/>
            </c:ext>
          </c:extLst>
        </c:ser>
        <c:ser>
          <c:idx val="2"/>
          <c:order val="2"/>
          <c:tx>
            <c:strRef>
              <c:f>'Fig 7.35'!$A$14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7.35'!$B$5:$E$5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7.35'!$B$14:$E$14</c:f>
              <c:numCache>
                <c:formatCode>_(* #,##0.000_);_(* \(#,##0.000\);_(* "-"??_);_(@_)</c:formatCode>
                <c:ptCount val="4"/>
                <c:pt idx="0">
                  <c:v>0.2049685841361418</c:v>
                </c:pt>
                <c:pt idx="1">
                  <c:v>0.19618651243242621</c:v>
                </c:pt>
                <c:pt idx="2">
                  <c:v>0.27529076524223539</c:v>
                </c:pt>
                <c:pt idx="3">
                  <c:v>0.23264889792690541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F-46B8-8495-DA27A8DD41A9}"/>
            </c:ext>
          </c:extLst>
        </c:ser>
        <c:ser>
          <c:idx val="3"/>
          <c:order val="3"/>
          <c:tx>
            <c:strRef>
              <c:f>'Fig 7.35'!$A$15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7.35'!$B$5:$E$5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7.35'!$B$15:$E$15</c:f>
              <c:numCache>
                <c:formatCode>_(* #,##0.000_);_(* \(#,##0.000\);_(* "-"??_);_(@_)</c:formatCode>
                <c:ptCount val="4"/>
                <c:pt idx="0">
                  <c:v>0.22695026565063001</c:v>
                </c:pt>
                <c:pt idx="1">
                  <c:v>0.21843326428023191</c:v>
                </c:pt>
                <c:pt idx="2">
                  <c:v>0.29356587635593906</c:v>
                </c:pt>
                <c:pt idx="3">
                  <c:v>0.25850562855331422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F-46B8-8495-DA27A8DD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31832"/>
        <c:axId val="41403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7.35'!$A$12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7.35'!$B$5:$E$5</c15:sqref>
                        </c15:formulaRef>
                      </c:ext>
                    </c:extLst>
                    <c:strCache>
                      <c:ptCount val="4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7.35'!$B$12:$E$12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4"/>
                      <c:pt idx="0">
                        <c:v>0.19897564911636573</c:v>
                      </c:pt>
                      <c:pt idx="1">
                        <c:v>0.19487087141279383</c:v>
                      </c:pt>
                      <c:pt idx="2">
                        <c:v>0.28312564187373146</c:v>
                      </c:pt>
                      <c:pt idx="3">
                        <c:v>0.23293786624263133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8DF-46B8-8495-DA27A8DD41A9}"/>
                  </c:ext>
                </c:extLst>
              </c15:ser>
            </c15:filteredBarSeries>
          </c:ext>
        </c:extLst>
      </c:barChart>
      <c:catAx>
        <c:axId val="4140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5360"/>
        <c:crosses val="autoZero"/>
        <c:auto val="1"/>
        <c:lblAlgn val="ctr"/>
        <c:lblOffset val="100"/>
        <c:noMultiLvlLbl val="0"/>
      </c:catAx>
      <c:valAx>
        <c:axId val="4140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1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7.36'!$A$6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7.36'!$F$6</c:f>
              <c:numCache>
                <c:formatCode>_(* #,##0.000_);_(* \(#,##0.000\);_(* "-"??_);_(@_)</c:formatCode>
                <c:ptCount val="1"/>
                <c:pt idx="0">
                  <c:v>0.12883278230505962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3-4BA8-BD4B-297E9C69F19D}"/>
            </c:ext>
          </c:extLst>
        </c:ser>
        <c:ser>
          <c:idx val="1"/>
          <c:order val="1"/>
          <c:tx>
            <c:strRef>
              <c:f>'Fig 7.36'!$A$7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7.36'!$F$7</c:f>
              <c:numCache>
                <c:formatCode>_(* #,##0.000_);_(* \(#,##0.000\);_(* "-"??_);_(@_)</c:formatCode>
                <c:ptCount val="1"/>
                <c:pt idx="0">
                  <c:v>0.13458025284690492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3-4BA8-BD4B-297E9C69F19D}"/>
            </c:ext>
          </c:extLst>
        </c:ser>
        <c:ser>
          <c:idx val="2"/>
          <c:order val="2"/>
          <c:tx>
            <c:strRef>
              <c:f>'Fig 7.36'!$A$8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7.36'!$F$8</c:f>
              <c:numCache>
                <c:formatCode>_(* #,##0.000_);_(* \(#,##0.000\);_(* "-"??_);_(@_)</c:formatCode>
                <c:ptCount val="1"/>
                <c:pt idx="0">
                  <c:v>0.14053404912408957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3-4BA8-BD4B-297E9C69F19D}"/>
            </c:ext>
          </c:extLst>
        </c:ser>
        <c:ser>
          <c:idx val="3"/>
          <c:order val="3"/>
          <c:tx>
            <c:strRef>
              <c:f>'Fig 7.36'!$A$9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7.36'!$F$9</c:f>
              <c:numCache>
                <c:formatCode>_(* #,##0.000_);_(* \(#,##0.000\);_(* "-"??_);_(@_)</c:formatCode>
                <c:ptCount val="1"/>
                <c:pt idx="0">
                  <c:v>0.15064368657223975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3-4BA8-BD4B-297E9C69F19D}"/>
            </c:ext>
          </c:extLst>
        </c:ser>
        <c:ser>
          <c:idx val="4"/>
          <c:order val="4"/>
          <c:tx>
            <c:strRef>
              <c:f>'Fig 7.36'!$A$10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7.36'!$F$10</c:f>
              <c:numCache>
                <c:formatCode>_(* #,##0.000_);_(* \(#,##0.000\);_(* "-"??_);_(@_)</c:formatCode>
                <c:ptCount val="1"/>
                <c:pt idx="0">
                  <c:v>0.17541314643513867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3-4BA8-BD4B-297E9C69F19D}"/>
            </c:ext>
          </c:extLst>
        </c:ser>
        <c:ser>
          <c:idx val="5"/>
          <c:order val="5"/>
          <c:tx>
            <c:strRef>
              <c:f>'Fig 7.36'!$A$11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7.36'!$F$11</c:f>
              <c:numCache>
                <c:formatCode>_(* #,##0.000_);_(* \(#,##0.000\);_(* "-"??_);_(@_)</c:formatCode>
                <c:ptCount val="1"/>
                <c:pt idx="0">
                  <c:v>0.18775286533235169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3-4BA8-BD4B-297E9C69F19D}"/>
            </c:ext>
          </c:extLst>
        </c:ser>
        <c:ser>
          <c:idx val="6"/>
          <c:order val="6"/>
          <c:tx>
            <c:strRef>
              <c:f>'Fig 7.36'!$A$12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7.36'!$F$12</c:f>
              <c:numCache>
                <c:formatCode>_(* #,##0.000_);_(* \(#,##0.000\);_(* "-"??_);_(@_)</c:formatCode>
                <c:ptCount val="1"/>
                <c:pt idx="0">
                  <c:v>0.18392872582158828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3-4BA8-BD4B-297E9C69F19D}"/>
            </c:ext>
          </c:extLst>
        </c:ser>
        <c:ser>
          <c:idx val="7"/>
          <c:order val="7"/>
          <c:tx>
            <c:strRef>
              <c:f>'Fig 7.36'!$A$13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7.36'!$F$13</c:f>
              <c:numCache>
                <c:formatCode>_(* #,##0.000_);_(* \(#,##0.000\);_(* "-"??_);_(@_)</c:formatCode>
                <c:ptCount val="1"/>
                <c:pt idx="0">
                  <c:v>0.19864631547734241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3-4BA8-BD4B-297E9C69F19D}"/>
            </c:ext>
          </c:extLst>
        </c:ser>
        <c:ser>
          <c:idx val="8"/>
          <c:order val="8"/>
          <c:tx>
            <c:strRef>
              <c:f>'Fig 7.36'!$A$14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7.36'!$F$14</c:f>
              <c:numCache>
                <c:formatCode>_(* #,##0.000_);_(* \(#,##0.000\);_(* "-"??_);_(@_)</c:formatCode>
                <c:ptCount val="1"/>
                <c:pt idx="0">
                  <c:v>0.20454846151012934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C40-8DD2-FF4618D9EE39}"/>
            </c:ext>
          </c:extLst>
        </c:ser>
        <c:ser>
          <c:idx val="9"/>
          <c:order val="9"/>
          <c:tx>
            <c:strRef>
              <c:f>'Fig 7.36'!$A$15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7.36'!$F$5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7.36'!$F$15</c:f>
              <c:numCache>
                <c:formatCode>_(* #,##0.000_);_(* \(#,##0.000\);_(* "-"??_);_(@_)</c:formatCode>
                <c:ptCount val="1"/>
                <c:pt idx="0">
                  <c:v>0.21239705254704441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F07-BB3B-84BD44C4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27128"/>
        <c:axId val="414033008"/>
      </c:barChart>
      <c:catAx>
        <c:axId val="4140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3008"/>
        <c:crosses val="autoZero"/>
        <c:auto val="1"/>
        <c:lblAlgn val="ctr"/>
        <c:lblOffset val="100"/>
        <c:noMultiLvlLbl val="0"/>
      </c:catAx>
      <c:valAx>
        <c:axId val="4140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7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7.37'!$A$13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7.37'!$B$5:$E$5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7.37'!$B$13:$E$13</c:f>
              <c:numCache>
                <c:formatCode>_(* #,##0.000_);_(* \(#,##0.000\);_(* "-"??_);_(@_)</c:formatCode>
                <c:ptCount val="4"/>
                <c:pt idx="0">
                  <c:v>0.1818639161025816</c:v>
                </c:pt>
                <c:pt idx="1">
                  <c:v>0.18375103224365893</c:v>
                </c:pt>
                <c:pt idx="2">
                  <c:v>0.26678761815896518</c:v>
                </c:pt>
                <c:pt idx="3">
                  <c:v>0.21819281643925381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9-4CAC-AA12-1760AF289753}"/>
            </c:ext>
          </c:extLst>
        </c:ser>
        <c:ser>
          <c:idx val="2"/>
          <c:order val="2"/>
          <c:tx>
            <c:strRef>
              <c:f>'Fig 7.37'!$A$14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7.37'!$B$5:$E$5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7.37'!$B$14:$E$14</c:f>
              <c:numCache>
                <c:formatCode>_(* #,##0.000_);_(* \(#,##0.000\);_(* "-"??_);_(@_)</c:formatCode>
                <c:ptCount val="4"/>
                <c:pt idx="0">
                  <c:v>0.18628786677070161</c:v>
                </c:pt>
                <c:pt idx="1">
                  <c:v>0.19089918210387044</c:v>
                </c:pt>
                <c:pt idx="2">
                  <c:v>0.27868328528176345</c:v>
                </c:pt>
                <c:pt idx="3">
                  <c:v>0.20549655989079155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9-4CAC-AA12-1760AF289753}"/>
            </c:ext>
          </c:extLst>
        </c:ser>
        <c:ser>
          <c:idx val="3"/>
          <c:order val="3"/>
          <c:tx>
            <c:strRef>
              <c:f>'Fig 7.37'!$A$15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7.37'!$B$5:$E$5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f>'Fig 7.37'!$B$15:$E$15</c:f>
              <c:numCache>
                <c:formatCode>_(* #,##0.000_);_(* \(#,##0.000\);_(* "-"??_);_(@_)</c:formatCode>
                <c:ptCount val="4"/>
                <c:pt idx="0">
                  <c:v>0.19347090893552529</c:v>
                </c:pt>
                <c:pt idx="1">
                  <c:v>0.20405586332333905</c:v>
                </c:pt>
                <c:pt idx="2">
                  <c:v>0.28311250293866075</c:v>
                </c:pt>
                <c:pt idx="3">
                  <c:v>0.19716186675689412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9-4CAC-AA12-1760AF28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34968"/>
        <c:axId val="41402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7.37'!$A$12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7.37'!$B$5:$E$5</c15:sqref>
                        </c15:formulaRef>
                      </c:ext>
                    </c:extLst>
                    <c:strCache>
                      <c:ptCount val="4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7.37'!$B$12:$E$12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4"/>
                      <c:pt idx="0">
                        <c:v>0.16952783755693726</c:v>
                      </c:pt>
                      <c:pt idx="1">
                        <c:v>0.16676219916095736</c:v>
                      </c:pt>
                      <c:pt idx="2">
                        <c:v>0.24763113848813917</c:v>
                      </c:pt>
                      <c:pt idx="3">
                        <c:v>0.22021479130935151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19-4CAC-AA12-1760AF289753}"/>
                  </c:ext>
                </c:extLst>
              </c15:ser>
            </c15:filteredBarSeries>
          </c:ext>
        </c:extLst>
      </c:barChart>
      <c:catAx>
        <c:axId val="4140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7520"/>
        <c:crosses val="autoZero"/>
        <c:auto val="1"/>
        <c:lblAlgn val="ctr"/>
        <c:lblOffset val="100"/>
        <c:noMultiLvlLbl val="0"/>
      </c:catAx>
      <c:valAx>
        <c:axId val="4140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7.38'!$A$6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7.38'!$F$6</c:f>
              <c:numCache>
                <c:formatCode>_(* #,##0.000_);_(* \(#,##0.000\);_(* "-"??_);_(@_)</c:formatCode>
                <c:ptCount val="1"/>
                <c:pt idx="0">
                  <c:v>0.95417485629710852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5E7-B43A-B0D1E309F457}"/>
            </c:ext>
          </c:extLst>
        </c:ser>
        <c:ser>
          <c:idx val="1"/>
          <c:order val="1"/>
          <c:tx>
            <c:strRef>
              <c:f>'Fig 7.38'!$A$7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7.38'!$F$7</c:f>
              <c:numCache>
                <c:formatCode>_(* #,##0.000_);_(* \(#,##0.000\);_(* "-"??_);_(@_)</c:formatCode>
                <c:ptCount val="1"/>
                <c:pt idx="0">
                  <c:v>1.0051939714493292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5E7-B43A-B0D1E309F457}"/>
            </c:ext>
          </c:extLst>
        </c:ser>
        <c:ser>
          <c:idx val="2"/>
          <c:order val="2"/>
          <c:tx>
            <c:strRef>
              <c:f>'Fig 7.38'!$A$8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7.38'!$F$8</c:f>
              <c:numCache>
                <c:formatCode>_(* #,##0.000_);_(* \(#,##0.000\);_(* "-"??_);_(@_)</c:formatCode>
                <c:ptCount val="1"/>
                <c:pt idx="0">
                  <c:v>0.95771050681751546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C-45E7-B43A-B0D1E309F457}"/>
            </c:ext>
          </c:extLst>
        </c:ser>
        <c:ser>
          <c:idx val="3"/>
          <c:order val="3"/>
          <c:tx>
            <c:strRef>
              <c:f>'Fig 7.38'!$A$9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7.38'!$F$9</c:f>
              <c:numCache>
                <c:formatCode>_(* #,##0.000_);_(* \(#,##0.000\);_(* "-"??_);_(@_)</c:formatCode>
                <c:ptCount val="1"/>
                <c:pt idx="0">
                  <c:v>0.89495013189185291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C-45E7-B43A-B0D1E309F457}"/>
            </c:ext>
          </c:extLst>
        </c:ser>
        <c:ser>
          <c:idx val="4"/>
          <c:order val="4"/>
          <c:tx>
            <c:strRef>
              <c:f>'Fig 7.38'!$A$10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7.38'!$F$10</c:f>
              <c:numCache>
                <c:formatCode>_(* #,##0.000_);_(* \(#,##0.000\);_(* "-"??_);_(@_)</c:formatCode>
                <c:ptCount val="1"/>
                <c:pt idx="0">
                  <c:v>0.98227712168235648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C-45E7-B43A-B0D1E309F457}"/>
            </c:ext>
          </c:extLst>
        </c:ser>
        <c:ser>
          <c:idx val="5"/>
          <c:order val="5"/>
          <c:tx>
            <c:strRef>
              <c:f>'Fig 7.38'!$A$11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7.38'!$F$11</c:f>
              <c:numCache>
                <c:formatCode>_(* #,##0.000_);_(* \(#,##0.000\);_(* "-"??_);_(@_)</c:formatCode>
                <c:ptCount val="1"/>
                <c:pt idx="0">
                  <c:v>0.98108232811027674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C-45E7-B43A-B0D1E309F457}"/>
            </c:ext>
          </c:extLst>
        </c:ser>
        <c:ser>
          <c:idx val="6"/>
          <c:order val="6"/>
          <c:tx>
            <c:strRef>
              <c:f>'Fig 7.38'!$A$12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7.38'!$F$12</c:f>
              <c:numCache>
                <c:formatCode>_(* #,##0.000_);_(* \(#,##0.000\);_(* "-"??_);_(@_)</c:formatCode>
                <c:ptCount val="1"/>
                <c:pt idx="0">
                  <c:v>1.0073782983738311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C-45E7-B43A-B0D1E309F457}"/>
            </c:ext>
          </c:extLst>
        </c:ser>
        <c:ser>
          <c:idx val="7"/>
          <c:order val="7"/>
          <c:tx>
            <c:strRef>
              <c:f>'Fig 7.38'!$A$13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7.38'!$F$13</c:f>
              <c:numCache>
                <c:formatCode>_(* #,##0.000_);_(* \(#,##0.000\);_(* "-"??_);_(@_)</c:formatCode>
                <c:ptCount val="1"/>
                <c:pt idx="0">
                  <c:v>1.0438216344302242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DC-45E7-B43A-B0D1E309F457}"/>
            </c:ext>
          </c:extLst>
        </c:ser>
        <c:ser>
          <c:idx val="8"/>
          <c:order val="8"/>
          <c:tx>
            <c:strRef>
              <c:f>'Fig 7.38'!$A$14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7.38'!$F$14</c:f>
              <c:numCache>
                <c:formatCode>_(* #,##0.000_);_(* \(#,##0.000\);_(* "-"??_);_(@_)</c:formatCode>
                <c:ptCount val="1"/>
                <c:pt idx="0">
                  <c:v>1.0913086577041329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8-4266-BF1F-93A75129ABFA}"/>
            </c:ext>
          </c:extLst>
        </c:ser>
        <c:ser>
          <c:idx val="9"/>
          <c:order val="9"/>
          <c:tx>
            <c:strRef>
              <c:f>'Fig 7.38'!$A$15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7.38'!$F$5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7.38'!$F$15</c:f>
              <c:numCache>
                <c:formatCode>_(* #,##0.000_);_(* \(#,##0.000\);_(* "-"??_);_(@_)</c:formatCode>
                <c:ptCount val="1"/>
                <c:pt idx="0">
                  <c:v>1.0308826193666099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5A6-B4CD-95710627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28304"/>
        <c:axId val="414035752"/>
      </c:barChart>
      <c:catAx>
        <c:axId val="414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5752"/>
        <c:crosses val="autoZero"/>
        <c:auto val="1"/>
        <c:lblAlgn val="ctr"/>
        <c:lblOffset val="100"/>
        <c:noMultiLvlLbl val="0"/>
      </c:catAx>
      <c:valAx>
        <c:axId val="4140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7.39'!$A$13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7.39'!$B$5:$F$5</c15:sqref>
                  </c15:fullRef>
                </c:ext>
              </c:extLst>
              <c:f>'Fig 7.39'!$B$5:$E$5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7.39'!$B$13:$F$13</c15:sqref>
                  </c15:fullRef>
                </c:ext>
              </c:extLst>
              <c:f>'Fig 7.39'!$B$13:$E$13</c:f>
              <c:numCache>
                <c:formatCode>_(* #,##0.000_);_(* \(#,##0.000\);_(* "-"??_);_(@_)</c:formatCode>
                <c:ptCount val="4"/>
                <c:pt idx="0">
                  <c:v>0.97778225613524339</c:v>
                </c:pt>
                <c:pt idx="1">
                  <c:v>1.103460978816029</c:v>
                </c:pt>
                <c:pt idx="2">
                  <c:v>1.0712116445521656</c:v>
                </c:pt>
                <c:pt idx="3">
                  <c:v>1.1184794148733204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B-44CF-8885-85269DBA14BB}"/>
            </c:ext>
          </c:extLst>
        </c:ser>
        <c:ser>
          <c:idx val="1"/>
          <c:order val="1"/>
          <c:tx>
            <c:strRef>
              <c:f>'Fig 7.39'!$A$14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7.39'!$B$5:$F$5</c15:sqref>
                  </c15:fullRef>
                </c:ext>
              </c:extLst>
              <c:f>'Fig 7.39'!$B$5:$E$5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7.39'!$B$14:$F$14</c15:sqref>
                  </c15:fullRef>
                </c:ext>
              </c:extLst>
              <c:f>'Fig 7.39'!$B$14:$E$14</c:f>
              <c:numCache>
                <c:formatCode>_(* #,##0.000_);_(* \(#,##0.000\);_(* "-"??_);_(@_)</c:formatCode>
                <c:ptCount val="4"/>
                <c:pt idx="0">
                  <c:v>1.0639195268283752</c:v>
                </c:pt>
                <c:pt idx="1">
                  <c:v>1.0981110807518342</c:v>
                </c:pt>
                <c:pt idx="2">
                  <c:v>1.1631360643956965</c:v>
                </c:pt>
                <c:pt idx="3">
                  <c:v>1.0559811526629437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B-44CF-8885-85269DBA14BB}"/>
            </c:ext>
          </c:extLst>
        </c:ser>
        <c:ser>
          <c:idx val="2"/>
          <c:order val="2"/>
          <c:tx>
            <c:strRef>
              <c:f>'Fig 7.39'!$A$15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7.39'!$B$5:$F$5</c15:sqref>
                  </c15:fullRef>
                </c:ext>
              </c:extLst>
              <c:f>'Fig 7.39'!$B$5:$E$5</c:f>
              <c:strCache>
                <c:ptCount val="4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7.39'!$B$15:$F$15</c15:sqref>
                  </c15:fullRef>
                </c:ext>
              </c:extLst>
              <c:f>'Fig 7.39'!$B$15:$E$15</c:f>
              <c:numCache>
                <c:formatCode>_(* #,##0.000_);_(* \(#,##0.000\);_(* "-"??_);_(@_)</c:formatCode>
                <c:ptCount val="4"/>
                <c:pt idx="0">
                  <c:v>0.99280872353446836</c:v>
                </c:pt>
                <c:pt idx="1">
                  <c:v>1.063916401704941</c:v>
                </c:pt>
                <c:pt idx="2">
                  <c:v>1.1054040754909074</c:v>
                </c:pt>
                <c:pt idx="3">
                  <c:v>0.96286762819234251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B-44CF-8885-85269DBA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28696"/>
        <c:axId val="414026344"/>
      </c:barChart>
      <c:catAx>
        <c:axId val="4140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6344"/>
        <c:crosses val="autoZero"/>
        <c:auto val="1"/>
        <c:lblAlgn val="ctr"/>
        <c:lblOffset val="100"/>
        <c:noMultiLvlLbl val="0"/>
      </c:catAx>
      <c:valAx>
        <c:axId val="4140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28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2.16'!$A$6:$A$17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2.16'!$B$6:$B$17</c:f>
              <c:numCache>
                <c:formatCode>0.0%</c:formatCode>
                <c:ptCount val="12"/>
                <c:pt idx="0">
                  <c:v>2.2721701465257475E-2</c:v>
                </c:pt>
                <c:pt idx="1">
                  <c:v>4.0462275067881442E-2</c:v>
                </c:pt>
                <c:pt idx="2">
                  <c:v>4.8429359963467564E-3</c:v>
                </c:pt>
                <c:pt idx="3">
                  <c:v>5.7750854930695088E-2</c:v>
                </c:pt>
                <c:pt idx="4">
                  <c:v>5.0817317779264348E-2</c:v>
                </c:pt>
                <c:pt idx="5">
                  <c:v>8.0997854192184165E-2</c:v>
                </c:pt>
                <c:pt idx="6">
                  <c:v>7.3477613223185995E-2</c:v>
                </c:pt>
                <c:pt idx="7">
                  <c:v>4.6640973358279214E-2</c:v>
                </c:pt>
                <c:pt idx="8">
                  <c:v>5.4137182063466079E-2</c:v>
                </c:pt>
                <c:pt idx="9">
                  <c:v>5.5635049457703083E-2</c:v>
                </c:pt>
                <c:pt idx="10">
                  <c:v>4.0088599967892637E-2</c:v>
                </c:pt>
                <c:pt idx="11">
                  <c:v>2.7087361648138037E-2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B7-4B5B-924E-E3C429C40E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97128"/>
        <c:axId val="134598304"/>
      </c:barChart>
      <c:catAx>
        <c:axId val="13459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4598304"/>
        <c:crosses val="autoZero"/>
        <c:auto val="1"/>
        <c:lblAlgn val="ctr"/>
        <c:lblOffset val="100"/>
        <c:noMultiLvlLbl val="0"/>
      </c:catAx>
      <c:valAx>
        <c:axId val="13459830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45971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7.40'!$A$6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7.40'!$G$6</c:f>
              <c:numCache>
                <c:formatCode>_(* #,##0.00_);_(* \(#,##0.00\);_(* "-"??_);_(@_)</c:formatCode>
                <c:ptCount val="1"/>
                <c:pt idx="0">
                  <c:v>1.2790260546505927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499B-8A30-6B462FF3D73D}"/>
            </c:ext>
          </c:extLst>
        </c:ser>
        <c:ser>
          <c:idx val="1"/>
          <c:order val="1"/>
          <c:tx>
            <c:strRef>
              <c:f>'Fig 7.40'!$A$7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7.40'!$G$7</c:f>
              <c:numCache>
                <c:formatCode>_(* #,##0.00_);_(* \(#,##0.00\);_(* "-"??_);_(@_)</c:formatCode>
                <c:ptCount val="1"/>
                <c:pt idx="0">
                  <c:v>1.3361281125943403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6-499B-8A30-6B462FF3D73D}"/>
            </c:ext>
          </c:extLst>
        </c:ser>
        <c:ser>
          <c:idx val="2"/>
          <c:order val="2"/>
          <c:tx>
            <c:strRef>
              <c:f>'Fig 7.40'!$A$8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7.40'!$G$8</c:f>
              <c:numCache>
                <c:formatCode>_(* #,##0.00_);_(* \(#,##0.00\);_(* "-"??_);_(@_)</c:formatCode>
                <c:ptCount val="1"/>
                <c:pt idx="0">
                  <c:v>1.3649452980075283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6-499B-8A30-6B462FF3D73D}"/>
            </c:ext>
          </c:extLst>
        </c:ser>
        <c:ser>
          <c:idx val="3"/>
          <c:order val="3"/>
          <c:tx>
            <c:strRef>
              <c:f>'Fig 7.40'!$A$9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7.40'!$G$9</c:f>
              <c:numCache>
                <c:formatCode>_(* #,##0.00_);_(* \(#,##0.00\);_(* "-"??_);_(@_)</c:formatCode>
                <c:ptCount val="1"/>
                <c:pt idx="0">
                  <c:v>1.4164989268665567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6-499B-8A30-6B462FF3D73D}"/>
            </c:ext>
          </c:extLst>
        </c:ser>
        <c:ser>
          <c:idx val="4"/>
          <c:order val="4"/>
          <c:tx>
            <c:strRef>
              <c:f>'Fig 7.40'!$A$10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7.40'!$G$10</c:f>
              <c:numCache>
                <c:formatCode>_(* #,##0.00_);_(* \(#,##0.00\);_(* "-"??_);_(@_)</c:formatCode>
                <c:ptCount val="1"/>
                <c:pt idx="0">
                  <c:v>1.6206641088487952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99B-8A30-6B462FF3D73D}"/>
            </c:ext>
          </c:extLst>
        </c:ser>
        <c:ser>
          <c:idx val="5"/>
          <c:order val="5"/>
          <c:tx>
            <c:strRef>
              <c:f>'Fig 7.40'!$A$11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7.40'!$G$11</c:f>
              <c:numCache>
                <c:formatCode>_(* #,##0.00_);_(* \(#,##0.00\);_(* "-"??_);_(@_)</c:formatCode>
                <c:ptCount val="1"/>
                <c:pt idx="0">
                  <c:v>1.744654278600495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76-499B-8A30-6B462FF3D73D}"/>
            </c:ext>
          </c:extLst>
        </c:ser>
        <c:ser>
          <c:idx val="6"/>
          <c:order val="6"/>
          <c:tx>
            <c:strRef>
              <c:f>'Fig 7.40'!$A$12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7.40'!$G$12</c:f>
              <c:numCache>
                <c:formatCode>_(* #,##0.00_);_(* \(#,##0.00\);_(* "-"??_);_(@_)</c:formatCode>
                <c:ptCount val="1"/>
                <c:pt idx="0">
                  <c:v>1.7213342460719814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76-499B-8A30-6B462FF3D73D}"/>
            </c:ext>
          </c:extLst>
        </c:ser>
        <c:ser>
          <c:idx val="7"/>
          <c:order val="7"/>
          <c:tx>
            <c:strRef>
              <c:f>'Fig 7.40'!$A$13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7.40'!$G$13</c:f>
              <c:numCache>
                <c:formatCode>_(* #,##0.00_);_(* \(#,##0.00\);_(* "-"??_);_(@_)</c:formatCode>
                <c:ptCount val="1"/>
                <c:pt idx="0">
                  <c:v>1.8341108023737227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76-499B-8A30-6B462FF3D73D}"/>
            </c:ext>
          </c:extLst>
        </c:ser>
        <c:ser>
          <c:idx val="8"/>
          <c:order val="8"/>
          <c:tx>
            <c:strRef>
              <c:f>'Fig 7.40'!$A$14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7.40'!$G$14</c:f>
              <c:numCache>
                <c:formatCode>_(* #,##0.00_);_(* \(#,##0.00\);_(* "-"??_);_(@_)</c:formatCode>
                <c:ptCount val="1"/>
                <c:pt idx="0">
                  <c:v>1.8989949825580048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A-4233-B8F2-635F7BF5A94D}"/>
            </c:ext>
          </c:extLst>
        </c:ser>
        <c:ser>
          <c:idx val="9"/>
          <c:order val="9"/>
          <c:tx>
            <c:strRef>
              <c:f>'Fig 7.40'!$A$15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7.40'!$G$5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7.40'!$G$15</c:f>
              <c:numCache>
                <c:formatCode>_(* #,##0.00_);_(* \(#,##0.00\);_(* "-"??_);_(@_)</c:formatCode>
                <c:ptCount val="1"/>
                <c:pt idx="0">
                  <c:v>1.9848799708970599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4E34-B72C-DA8EEF1F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29088"/>
        <c:axId val="414032616"/>
      </c:barChart>
      <c:catAx>
        <c:axId val="4140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32616"/>
        <c:crosses val="autoZero"/>
        <c:auto val="1"/>
        <c:lblAlgn val="ctr"/>
        <c:lblOffset val="100"/>
        <c:noMultiLvlLbl val="0"/>
      </c:catAx>
      <c:valAx>
        <c:axId val="4140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402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7.41'!$A$13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7.41'!$B$13:$F$13</c:f>
              <c:numCache>
                <c:formatCode>_(* #,##0.00_);_(* \(#,##0.00\);_(* "-"??_);_(@_)</c:formatCode>
                <c:ptCount val="5"/>
                <c:pt idx="0">
                  <c:v>1.5791193101674468</c:v>
                </c:pt>
                <c:pt idx="1">
                  <c:v>1.93496961341429</c:v>
                </c:pt>
                <c:pt idx="2">
                  <c:v>2.3596931659590981</c:v>
                </c:pt>
                <c:pt idx="3">
                  <c:v>1.9649437722556762</c:v>
                </c:pt>
                <c:pt idx="4">
                  <c:v>1.6354580941361609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E-49EC-9CA1-4C50517B1AA5}"/>
            </c:ext>
          </c:extLst>
        </c:ser>
        <c:ser>
          <c:idx val="2"/>
          <c:order val="2"/>
          <c:tx>
            <c:strRef>
              <c:f>'Fig 7.41'!$A$14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7.41'!$B$14:$F$14</c:f>
              <c:numCache>
                <c:formatCode>_(* #,##0.00_);_(* \(#,##0.00\);_(* "-"??_);_(@_)</c:formatCode>
                <c:ptCount val="5"/>
                <c:pt idx="0">
                  <c:v>1.6315023851717727</c:v>
                </c:pt>
                <c:pt idx="1">
                  <c:v>1.917099015825761</c:v>
                </c:pt>
                <c:pt idx="2">
                  <c:v>2.8086355537809249</c:v>
                </c:pt>
                <c:pt idx="3">
                  <c:v>1.870256270466411</c:v>
                </c:pt>
                <c:pt idx="4">
                  <c:v>1.5507695518991114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E-49EC-9CA1-4C50517B1AA5}"/>
            </c:ext>
          </c:extLst>
        </c:ser>
        <c:ser>
          <c:idx val="3"/>
          <c:order val="3"/>
          <c:tx>
            <c:strRef>
              <c:f>'Fig 7.41'!$A$15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7.41'!$B$5:$F$5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7.41'!$B$15:$F$15</c:f>
              <c:numCache>
                <c:formatCode>_(* #,##0.00_);_(* \(#,##0.00\);_(* "-"??_);_(@_)</c:formatCode>
                <c:ptCount val="5"/>
                <c:pt idx="0">
                  <c:v>1.6705225975162619</c:v>
                </c:pt>
                <c:pt idx="1">
                  <c:v>2.1197219514014751</c:v>
                </c:pt>
                <c:pt idx="2">
                  <c:v>2.8153296215378156</c:v>
                </c:pt>
                <c:pt idx="3">
                  <c:v>1.8520299316286226</c:v>
                </c:pt>
                <c:pt idx="4">
                  <c:v>1.8610261771547305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E-49EC-9CA1-4C50517B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31440"/>
        <c:axId val="414033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7.41'!$A$12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7.41'!$B$5:$F$5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7.41'!$B$12:$F$12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1.4570858698448024</c:v>
                      </c:pt>
                      <c:pt idx="1">
                        <c:v>1.7914243208321528</c:v>
                      </c:pt>
                      <c:pt idx="2">
                        <c:v>2.3595288997084927</c:v>
                      </c:pt>
                      <c:pt idx="3">
                        <c:v>1.9386172691920245</c:v>
                      </c:pt>
                      <c:pt idx="4">
                        <c:v>1.7643277622980402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5E-49EC-9CA1-4C50517B1AA5}"/>
                  </c:ext>
                </c:extLst>
              </c15:ser>
            </c15:filteredBarSeries>
          </c:ext>
        </c:extLst>
      </c:barChart>
      <c:catAx>
        <c:axId val="4140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3400"/>
        <c:crosses val="autoZero"/>
        <c:auto val="1"/>
        <c:lblAlgn val="ctr"/>
        <c:lblOffset val="100"/>
        <c:noMultiLvlLbl val="0"/>
      </c:catAx>
      <c:valAx>
        <c:axId val="4140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7.42'!$A$6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7.42'!$G$6</c:f>
              <c:numCache>
                <c:formatCode>_(* #,##0.00_);_(* \(#,##0.00\);_(* "-"??_);_(@_)</c:formatCode>
                <c:ptCount val="1"/>
                <c:pt idx="0">
                  <c:v>1.3404524822778738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83A-9FC0-3F74FDA89ED0}"/>
            </c:ext>
          </c:extLst>
        </c:ser>
        <c:ser>
          <c:idx val="1"/>
          <c:order val="1"/>
          <c:tx>
            <c:strRef>
              <c:f>'Fig 7.42'!$A$7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7.42'!$G$7</c:f>
              <c:numCache>
                <c:formatCode>_(* #,##0.00_);_(* \(#,##0.00\);_(* "-"??_);_(@_)</c:formatCode>
                <c:ptCount val="1"/>
                <c:pt idx="0">
                  <c:v>1.3292241602562109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2-483A-9FC0-3F74FDA89ED0}"/>
            </c:ext>
          </c:extLst>
        </c:ser>
        <c:ser>
          <c:idx val="2"/>
          <c:order val="2"/>
          <c:tx>
            <c:strRef>
              <c:f>'Fig 7.42'!$A$8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7.42'!$G$8</c:f>
              <c:numCache>
                <c:formatCode>_(* #,##0.00_);_(* \(#,##0.00\);_(* "-"??_);_(@_)</c:formatCode>
                <c:ptCount val="1"/>
                <c:pt idx="0">
                  <c:v>1.4252170027279534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2-483A-9FC0-3F74FDA89ED0}"/>
            </c:ext>
          </c:extLst>
        </c:ser>
        <c:ser>
          <c:idx val="3"/>
          <c:order val="3"/>
          <c:tx>
            <c:strRef>
              <c:f>'Fig 7.42'!$A$9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7.42'!$G$9</c:f>
              <c:numCache>
                <c:formatCode>_(* #,##0.00_);_(* \(#,##0.00\);_(* "-"??_);_(@_)</c:formatCode>
                <c:ptCount val="1"/>
                <c:pt idx="0">
                  <c:v>1.5827685547933172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2-483A-9FC0-3F74FDA89ED0}"/>
            </c:ext>
          </c:extLst>
        </c:ser>
        <c:ser>
          <c:idx val="4"/>
          <c:order val="4"/>
          <c:tx>
            <c:strRef>
              <c:f>'Fig 7.42'!$A$10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7.42'!$G$10</c:f>
              <c:numCache>
                <c:formatCode>_(* #,##0.00_);_(* \(#,##0.00\);_(* "-"??_);_(@_)</c:formatCode>
                <c:ptCount val="1"/>
                <c:pt idx="0">
                  <c:v>1.6499051775460944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2-483A-9FC0-3F74FDA89ED0}"/>
            </c:ext>
          </c:extLst>
        </c:ser>
        <c:ser>
          <c:idx val="5"/>
          <c:order val="5"/>
          <c:tx>
            <c:strRef>
              <c:f>'Fig 7.42'!$A$11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7.42'!$G$11</c:f>
              <c:numCache>
                <c:formatCode>_(* #,##0.00_);_(* \(#,##0.00\);_(* "-"??_);_(@_)</c:formatCode>
                <c:ptCount val="1"/>
                <c:pt idx="0">
                  <c:v>1.7782954891879272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2-483A-9FC0-3F74FDA89ED0}"/>
            </c:ext>
          </c:extLst>
        </c:ser>
        <c:ser>
          <c:idx val="6"/>
          <c:order val="6"/>
          <c:tx>
            <c:strRef>
              <c:f>'Fig 7.42'!$A$12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7.42'!$G$12</c:f>
              <c:numCache>
                <c:formatCode>_(* #,##0.00_);_(* \(#,##0.00\);_(* "-"??_);_(@_)</c:formatCode>
                <c:ptCount val="1"/>
                <c:pt idx="0">
                  <c:v>1.708726750269149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2-483A-9FC0-3F74FDA89ED0}"/>
            </c:ext>
          </c:extLst>
        </c:ser>
        <c:ser>
          <c:idx val="7"/>
          <c:order val="7"/>
          <c:tx>
            <c:strRef>
              <c:f>'Fig 7.42'!$A$13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7.42'!$G$13</c:f>
              <c:numCache>
                <c:formatCode>_(* #,##0.00_);_(* \(#,##0.00\);_(* "-"??_);_(@_)</c:formatCode>
                <c:ptCount val="1"/>
                <c:pt idx="0">
                  <c:v>1.7571113127722078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2-483A-9FC0-3F74FDA89ED0}"/>
            </c:ext>
          </c:extLst>
        </c:ser>
        <c:ser>
          <c:idx val="8"/>
          <c:order val="8"/>
          <c:tx>
            <c:strRef>
              <c:f>'Fig 7.42'!$A$14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7.42'!$G$14</c:f>
              <c:numCache>
                <c:formatCode>_(* #,##0.00_);_(* \(#,##0.00\);_(* "-"??_);_(@_)</c:formatCode>
                <c:ptCount val="1"/>
                <c:pt idx="0">
                  <c:v>1.740108052063897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3-413E-BAFB-7504FBB87D85}"/>
            </c:ext>
          </c:extLst>
        </c:ser>
        <c:ser>
          <c:idx val="9"/>
          <c:order val="9"/>
          <c:tx>
            <c:strRef>
              <c:f>'Fig 7.42'!$A$15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7.42'!$G$5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7.42'!$G$15</c:f>
              <c:numCache>
                <c:formatCode>_(* #,##0.00_);_(* \(#,##0.00\);_(* "-"??_);_(@_)</c:formatCode>
                <c:ptCount val="1"/>
                <c:pt idx="0">
                  <c:v>1.9254180190918349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70D-98B2-EDEEE5B8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39672"/>
        <c:axId val="414040848"/>
      </c:barChart>
      <c:catAx>
        <c:axId val="4140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40848"/>
        <c:crosses val="autoZero"/>
        <c:auto val="1"/>
        <c:lblAlgn val="ctr"/>
        <c:lblOffset val="100"/>
        <c:noMultiLvlLbl val="0"/>
      </c:catAx>
      <c:valAx>
        <c:axId val="4140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7.43'!$A$13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7.43'!$B$5:$F$5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7.43'!$B$13:$F$13</c:f>
              <c:numCache>
                <c:formatCode>_(* #,##0.00_);_(* \(#,##0.00\);_(* "-"??_);_(@_)</c:formatCode>
                <c:ptCount val="5"/>
                <c:pt idx="0">
                  <c:v>1.6150009884706154</c:v>
                </c:pt>
                <c:pt idx="1">
                  <c:v>1.7535460252436268</c:v>
                </c:pt>
                <c:pt idx="2">
                  <c:v>2.2028262836384673</c:v>
                </c:pt>
                <c:pt idx="3">
                  <c:v>1.7567992277070446</c:v>
                </c:pt>
                <c:pt idx="4">
                  <c:v>1.6570764335233961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3-4349-84F1-4526108E8B14}"/>
            </c:ext>
          </c:extLst>
        </c:ser>
        <c:ser>
          <c:idx val="2"/>
          <c:order val="2"/>
          <c:tx>
            <c:strRef>
              <c:f>'Fig 7.43'!$A$14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7.43'!$B$5:$F$5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7.43'!$B$14:$F$14</c:f>
              <c:numCache>
                <c:formatCode>_(* #,##0.00_);_(* \(#,##0.00\);_(* "-"??_);_(@_)</c:formatCode>
                <c:ptCount val="5"/>
                <c:pt idx="0">
                  <c:v>1.53348288477739</c:v>
                </c:pt>
                <c:pt idx="1">
                  <c:v>1.7458151997821547</c:v>
                </c:pt>
                <c:pt idx="2">
                  <c:v>2.4147093704296259</c:v>
                </c:pt>
                <c:pt idx="3">
                  <c:v>1.7711076241749688</c:v>
                </c:pt>
                <c:pt idx="4">
                  <c:v>1.5016177271468245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3-4349-84F1-4526108E8B14}"/>
            </c:ext>
          </c:extLst>
        </c:ser>
        <c:ser>
          <c:idx val="3"/>
          <c:order val="3"/>
          <c:tx>
            <c:strRef>
              <c:f>'Fig 7.43'!$A$15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7.43'!$B$5:$F$5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7.43'!$B$15:$F$15</c:f>
              <c:numCache>
                <c:formatCode>_(* #,##0.00_);_(* \(#,##0.00\);_(* "-"??_);_(@_)</c:formatCode>
                <c:ptCount val="5"/>
                <c:pt idx="0">
                  <c:v>1.6826228032818697</c:v>
                </c:pt>
                <c:pt idx="1">
                  <c:v>1.9923764198057206</c:v>
                </c:pt>
                <c:pt idx="2">
                  <c:v>2.5468782719002863</c:v>
                </c:pt>
                <c:pt idx="3">
                  <c:v>1.9234522767221551</c:v>
                </c:pt>
                <c:pt idx="4">
                  <c:v>1.8340085777781421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3-4349-84F1-4526108E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42416"/>
        <c:axId val="414038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7.43'!$A$12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7.43'!$B$5:$F$5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7.43'!$B$12:$F$12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1.4762423468773083</c:v>
                      </c:pt>
                      <c:pt idx="1">
                        <c:v>1.7854866495495245</c:v>
                      </c:pt>
                      <c:pt idx="2">
                        <c:v>2.3530742937727296</c:v>
                      </c:pt>
                      <c:pt idx="3">
                        <c:v>1.7405851140942092</c:v>
                      </c:pt>
                      <c:pt idx="4">
                        <c:v>1.6952091639367992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163-4349-84F1-4526108E8B14}"/>
                  </c:ext>
                </c:extLst>
              </c15:ser>
            </c15:filteredBarSeries>
          </c:ext>
        </c:extLst>
      </c:barChart>
      <c:catAx>
        <c:axId val="4140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8104"/>
        <c:crosses val="autoZero"/>
        <c:auto val="1"/>
        <c:lblAlgn val="ctr"/>
        <c:lblOffset val="100"/>
        <c:noMultiLvlLbl val="0"/>
      </c:catAx>
      <c:valAx>
        <c:axId val="4140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4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7.44'!$A$6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7.44'!$G$6</c:f>
              <c:numCache>
                <c:formatCode>_(* #,##0.00_);_(* \(#,##0.00\);_(* "-"??_);_(@_)</c:formatCode>
                <c:ptCount val="1"/>
                <c:pt idx="0">
                  <c:v>0.95417485629710852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D00-A95F-C466E5011D2C}"/>
            </c:ext>
          </c:extLst>
        </c:ser>
        <c:ser>
          <c:idx val="1"/>
          <c:order val="1"/>
          <c:tx>
            <c:strRef>
              <c:f>'Fig 7.44'!$A$7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7.44'!$G$7</c:f>
              <c:numCache>
                <c:formatCode>_(* #,##0.00_);_(* \(#,##0.00\);_(* "-"??_);_(@_)</c:formatCode>
                <c:ptCount val="1"/>
                <c:pt idx="0">
                  <c:v>1.0051939714493292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D00-A95F-C466E5011D2C}"/>
            </c:ext>
          </c:extLst>
        </c:ser>
        <c:ser>
          <c:idx val="2"/>
          <c:order val="2"/>
          <c:tx>
            <c:strRef>
              <c:f>'Fig 7.44'!$A$8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7.44'!$G$8</c:f>
              <c:numCache>
                <c:formatCode>_(* #,##0.00_);_(* \(#,##0.00\);_(* "-"??_);_(@_)</c:formatCode>
                <c:ptCount val="1"/>
                <c:pt idx="0">
                  <c:v>0.95771050681751524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F-4D00-A95F-C466E5011D2C}"/>
            </c:ext>
          </c:extLst>
        </c:ser>
        <c:ser>
          <c:idx val="3"/>
          <c:order val="3"/>
          <c:tx>
            <c:strRef>
              <c:f>'Fig 7.44'!$A$9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7.44'!$G$9</c:f>
              <c:numCache>
                <c:formatCode>_(* #,##0.00_);_(* \(#,##0.00\);_(* "-"??_);_(@_)</c:formatCode>
                <c:ptCount val="1"/>
                <c:pt idx="0">
                  <c:v>0.89495013189185291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F-4D00-A95F-C466E5011D2C}"/>
            </c:ext>
          </c:extLst>
        </c:ser>
        <c:ser>
          <c:idx val="4"/>
          <c:order val="4"/>
          <c:tx>
            <c:strRef>
              <c:f>'Fig 7.44'!$A$10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7.44'!$G$10</c:f>
              <c:numCache>
                <c:formatCode>_(* #,##0.00_);_(* \(#,##0.00\);_(* "-"??_);_(@_)</c:formatCode>
                <c:ptCount val="1"/>
                <c:pt idx="0">
                  <c:v>0.98227712168235659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F-4D00-A95F-C466E5011D2C}"/>
            </c:ext>
          </c:extLst>
        </c:ser>
        <c:ser>
          <c:idx val="5"/>
          <c:order val="5"/>
          <c:tx>
            <c:strRef>
              <c:f>'Fig 7.44'!$A$11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7.44'!$G$11</c:f>
              <c:numCache>
                <c:formatCode>_(* #,##0.00_);_(* \(#,##0.00\);_(* "-"??_);_(@_)</c:formatCode>
                <c:ptCount val="1"/>
                <c:pt idx="0">
                  <c:v>0.98108232811027674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F-4D00-A95F-C466E5011D2C}"/>
            </c:ext>
          </c:extLst>
        </c:ser>
        <c:ser>
          <c:idx val="6"/>
          <c:order val="6"/>
          <c:tx>
            <c:strRef>
              <c:f>'Fig 7.44'!$A$12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7.44'!$G$12</c:f>
              <c:numCache>
                <c:formatCode>_(* #,##0.00_);_(* \(#,##0.00\);_(* "-"??_);_(@_)</c:formatCode>
                <c:ptCount val="1"/>
                <c:pt idx="0">
                  <c:v>1.0073782983738311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F-4D00-A95F-C466E5011D2C}"/>
            </c:ext>
          </c:extLst>
        </c:ser>
        <c:ser>
          <c:idx val="7"/>
          <c:order val="7"/>
          <c:tx>
            <c:strRef>
              <c:f>'Fig 7.44'!$A$13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7.44'!$G$13</c:f>
              <c:numCache>
                <c:formatCode>_(* #,##0.00_);_(* \(#,##0.00\);_(* "-"??_);_(@_)</c:formatCode>
                <c:ptCount val="1"/>
                <c:pt idx="0">
                  <c:v>1.0438216344302242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F-4D00-A95F-C466E5011D2C}"/>
            </c:ext>
          </c:extLst>
        </c:ser>
        <c:ser>
          <c:idx val="8"/>
          <c:order val="8"/>
          <c:tx>
            <c:strRef>
              <c:f>'Fig 7.44'!$A$14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7.44'!$G$14</c:f>
              <c:numCache>
                <c:formatCode>_(* #,##0.00_);_(* \(#,##0.00\);_(* "-"??_);_(@_)</c:formatCode>
                <c:ptCount val="1"/>
                <c:pt idx="0">
                  <c:v>1.0913086577041329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3-4351-AA86-3BA277478896}"/>
            </c:ext>
          </c:extLst>
        </c:ser>
        <c:ser>
          <c:idx val="9"/>
          <c:order val="9"/>
          <c:tx>
            <c:strRef>
              <c:f>'Fig 7.44'!$A$15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7.44'!$G$5</c:f>
              <c:strCache>
                <c:ptCount val="1"/>
                <c:pt idx="0">
                  <c:v>Indústria</c:v>
                </c:pt>
              </c:strCache>
            </c:strRef>
          </c:cat>
          <c:val>
            <c:numRef>
              <c:f>'Fig 7.44'!$G$15</c:f>
              <c:numCache>
                <c:formatCode>_(* #,##0.00_);_(* \(#,##0.00\);_(* "-"??_);_(@_)</c:formatCode>
                <c:ptCount val="1"/>
                <c:pt idx="0">
                  <c:v>1.0308826193666099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48C-AFF0-5C3289E8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42808"/>
        <c:axId val="414038496"/>
      </c:barChart>
      <c:catAx>
        <c:axId val="4140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38496"/>
        <c:crosses val="autoZero"/>
        <c:auto val="1"/>
        <c:lblAlgn val="ctr"/>
        <c:lblOffset val="100"/>
        <c:noMultiLvlLbl val="0"/>
      </c:catAx>
      <c:valAx>
        <c:axId val="4140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42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'Fig 7.45'!$A$13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7.45'!$B$13:$F$13</c:f>
              <c:numCache>
                <c:formatCode>_(* #,##0.00_);_(* \(#,##0.00\);_(* "-"??_);_(@_)</c:formatCode>
                <c:ptCount val="5"/>
                <c:pt idx="0">
                  <c:v>0.97778225613524361</c:v>
                </c:pt>
                <c:pt idx="1">
                  <c:v>1.1034609788160292</c:v>
                </c:pt>
                <c:pt idx="2">
                  <c:v>1.0712116445521658</c:v>
                </c:pt>
                <c:pt idx="3">
                  <c:v>1.1184794148733204</c:v>
                </c:pt>
                <c:pt idx="4">
                  <c:v>0.98695392744119315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91F-BE83-C4E1B33E984C}"/>
            </c:ext>
          </c:extLst>
        </c:ser>
        <c:ser>
          <c:idx val="2"/>
          <c:order val="2"/>
          <c:tx>
            <c:strRef>
              <c:f>'Fig 7.45'!$A$14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7.45'!$B$14:$F$14</c:f>
              <c:numCache>
                <c:formatCode>_(* #,##0.00_);_(* \(#,##0.00\);_(* "-"??_);_(@_)</c:formatCode>
                <c:ptCount val="5"/>
                <c:pt idx="0">
                  <c:v>1.0639195268283752</c:v>
                </c:pt>
                <c:pt idx="1">
                  <c:v>1.0981110807518342</c:v>
                </c:pt>
                <c:pt idx="2">
                  <c:v>1.1631360643956965</c:v>
                </c:pt>
                <c:pt idx="3">
                  <c:v>1.0559811526629435</c:v>
                </c:pt>
                <c:pt idx="4">
                  <c:v>1.0327325815776554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4-491F-BE83-C4E1B33E984C}"/>
            </c:ext>
          </c:extLst>
        </c:ser>
        <c:ser>
          <c:idx val="3"/>
          <c:order val="3"/>
          <c:tx>
            <c:strRef>
              <c:f>'Fig 7.45'!$A$15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7.45'!$B$5:$F$5</c:f>
              <c:strCache>
                <c:ptCount val="5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Absa</c:v>
                </c:pt>
              </c:strCache>
            </c:strRef>
          </c:cat>
          <c:val>
            <c:numRef>
              <c:f>'Fig 7.45'!$B$15:$F$15</c:f>
              <c:numCache>
                <c:formatCode>_(* #,##0.00_);_(* \(#,##0.00\);_(* "-"??_);_(@_)</c:formatCode>
                <c:ptCount val="5"/>
                <c:pt idx="0">
                  <c:v>0.99280872353446825</c:v>
                </c:pt>
                <c:pt idx="1">
                  <c:v>1.063916401704941</c:v>
                </c:pt>
                <c:pt idx="2">
                  <c:v>1.1054040754909074</c:v>
                </c:pt>
                <c:pt idx="3">
                  <c:v>0.9628676281923424</c:v>
                </c:pt>
                <c:pt idx="4">
                  <c:v>1.0147314465722508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4-491F-BE83-C4E1B33E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5"/>
        <c:axId val="414043200"/>
        <c:axId val="414043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 7.45'!$A$12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4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7.45'!$B$5:$F$5</c15:sqref>
                        </c15:formulaRef>
                      </c:ext>
                    </c:extLst>
                    <c:strCache>
                      <c:ptCount val="5"/>
                      <c:pt idx="0">
                        <c:v>Latam</c:v>
                      </c:pt>
                      <c:pt idx="1">
                        <c:v>Gol</c:v>
                      </c:pt>
                      <c:pt idx="2">
                        <c:v>Azul</c:v>
                      </c:pt>
                      <c:pt idx="3">
                        <c:v>Avianca</c:v>
                      </c:pt>
                      <c:pt idx="4">
                        <c:v>Absa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7.45'!$B$12:$F$12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0.9870234876590368</c:v>
                      </c:pt>
                      <c:pt idx="1">
                        <c:v>1.0033255198430782</c:v>
                      </c:pt>
                      <c:pt idx="2">
                        <c:v>1.0027430523349157</c:v>
                      </c:pt>
                      <c:pt idx="3">
                        <c:v>1.1137733245529162</c:v>
                      </c:pt>
                      <c:pt idx="4">
                        <c:v>1.0407729027376931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74-491F-BE83-C4E1B33E984C}"/>
                  </c:ext>
                </c:extLst>
              </c15:ser>
            </c15:filteredBarSeries>
          </c:ext>
        </c:extLst>
      </c:barChart>
      <c:catAx>
        <c:axId val="4140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43592"/>
        <c:crosses val="autoZero"/>
        <c:auto val="1"/>
        <c:lblAlgn val="ctr"/>
        <c:lblOffset val="100"/>
        <c:noMultiLvlLbl val="0"/>
      </c:catAx>
      <c:valAx>
        <c:axId val="4140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41404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1024811218986E-2"/>
          <c:y val="7.818011273181015E-2"/>
          <c:w val="0.83514682023970765"/>
          <c:h val="0.914617443311389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D61-449C-B1A9-AA7D1DE7148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AD61-449C-B1A9-AA7D1DE7148B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D61-449C-B1A9-AA7D1DE7148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AD61-449C-B1A9-AA7D1DE7148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D61-449C-B1A9-AA7D1DE7148B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D61-449C-B1A9-AA7D1DE7148B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AD61-449C-B1A9-AA7D1DE7148B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D61-449C-B1A9-AA7D1DE7148B}"/>
              </c:ext>
            </c:extLst>
          </c:dPt>
          <c:dLbls>
            <c:dLbl>
              <c:idx val="4"/>
              <c:layout>
                <c:manualLayout>
                  <c:x val="9.3704831340526873E-2"/>
                  <c:y val="1.190476190476190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61-449C-B1A9-AA7D1DE7148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>
                    <a:solidFill>
                      <a:sysClr val="windowText" lastClr="000000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2.17'!$A$6:$A$10</c:f>
              <c:strCache>
                <c:ptCount val="5"/>
                <c:pt idx="0">
                  <c:v> Gol </c:v>
                </c:pt>
                <c:pt idx="1">
                  <c:v> Latam </c:v>
                </c:pt>
                <c:pt idx="2">
                  <c:v> Azul </c:v>
                </c:pt>
                <c:pt idx="3">
                  <c:v> Avianca </c:v>
                </c:pt>
                <c:pt idx="4">
                  <c:v> Outras </c:v>
                </c:pt>
              </c:strCache>
            </c:strRef>
          </c:cat>
          <c:val>
            <c:numRef>
              <c:f>'Fig 2.17'!$B$6:$B$10</c:f>
              <c:numCache>
                <c:formatCode>_(* #,##0_);_(* \(#,##0\);_(* "-"??_);_(@_)</c:formatCode>
                <c:ptCount val="5"/>
                <c:pt idx="0">
                  <c:v>42427773129</c:v>
                </c:pt>
                <c:pt idx="1">
                  <c:v>37633204005</c:v>
                </c:pt>
                <c:pt idx="2">
                  <c:v>22102336411</c:v>
                </c:pt>
                <c:pt idx="3">
                  <c:v>15185076926</c:v>
                </c:pt>
                <c:pt idx="4">
                  <c:v>616100008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61-449C-B1A9-AA7D1DE714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6075614334615935"/>
          <c:y val="0.22314014026935158"/>
          <c:w val="0.12629887283507041"/>
          <c:h val="0.63240789983219314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6F7-4B06-BB4B-65A12B38D3B0}"/>
              </c:ext>
            </c:extLst>
          </c:dPt>
          <c:dPt>
            <c:idx val="1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46F7-4B06-BB4B-65A12B38D3B0}"/>
              </c:ext>
            </c:extLst>
          </c:dPt>
          <c:dPt>
            <c:idx val="2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46F7-4B06-BB4B-65A12B38D3B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46F7-4B06-BB4B-65A12B38D3B0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9-46F7-4B06-BB4B-65A12B38D3B0}"/>
              </c:ext>
            </c:extLst>
          </c:dPt>
          <c:dPt>
            <c:idx val="5"/>
            <c:invertIfNegative val="0"/>
            <c:bubble3D val="0"/>
            <c:spPr>
              <a:solidFill>
                <a:sysClr val="windowText" lastClr="000000"/>
              </a:solidFill>
            </c:spPr>
            <c:extLst>
              <c:ext xmlns:c16="http://schemas.microsoft.com/office/drawing/2014/chart" uri="{C3380CC4-5D6E-409C-BE32-E72D297353CC}">
                <c16:uniqueId val="{0000000B-46F7-4B06-BB4B-65A12B38D3B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46F7-4B06-BB4B-65A12B38D3B0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F-46F7-4B06-BB4B-65A12B38D3B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2.18'!$A$6:$A$10</c:f>
              <c:strCache>
                <c:ptCount val="5"/>
                <c:pt idx="0">
                  <c:v> Avianca </c:v>
                </c:pt>
                <c:pt idx="1">
                  <c:v> Azul </c:v>
                </c:pt>
                <c:pt idx="2">
                  <c:v> Latam </c:v>
                </c:pt>
                <c:pt idx="3">
                  <c:v> Gol </c:v>
                </c:pt>
                <c:pt idx="4">
                  <c:v> Outras </c:v>
                </c:pt>
              </c:strCache>
            </c:strRef>
          </c:cat>
          <c:val>
            <c:numRef>
              <c:f>'Fig 2.18'!$B$6:$B$10</c:f>
              <c:numCache>
                <c:formatCode>0.0%</c:formatCode>
                <c:ptCount val="5"/>
                <c:pt idx="0">
                  <c:v>8.9459049646557487E-2</c:v>
                </c:pt>
                <c:pt idx="1">
                  <c:v>8.2649895117695715E-2</c:v>
                </c:pt>
                <c:pt idx="2">
                  <c:v>3.7218869790772047E-2</c:v>
                </c:pt>
                <c:pt idx="3">
                  <c:v>2.3246860655990353E-2</c:v>
                </c:pt>
                <c:pt idx="4">
                  <c:v>-0.13579023597894646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F7-4B06-BB4B-65A12B38D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23744"/>
        <c:axId val="134020216"/>
      </c:barChart>
      <c:catAx>
        <c:axId val="1340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4020216"/>
        <c:crosses val="autoZero"/>
        <c:auto val="1"/>
        <c:lblAlgn val="ctr"/>
        <c:lblOffset val="100"/>
        <c:noMultiLvlLbl val="0"/>
      </c:catAx>
      <c:valAx>
        <c:axId val="13402021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40237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2.19'!$B$19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'Fig 2.19'!$A$6:$A$17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2.19'!$B$6:$B$17</c:f>
              <c:numCache>
                <c:formatCode>0.0%</c:formatCode>
                <c:ptCount val="12"/>
                <c:pt idx="0">
                  <c:v>2.2207664851915478E-2</c:v>
                </c:pt>
                <c:pt idx="1">
                  <c:v>3.1424296490138455E-2</c:v>
                </c:pt>
                <c:pt idx="2">
                  <c:v>-2.9828003944591775E-2</c:v>
                </c:pt>
                <c:pt idx="3">
                  <c:v>1.3458626306608212E-2</c:v>
                </c:pt>
                <c:pt idx="4">
                  <c:v>1.534654651352909E-2</c:v>
                </c:pt>
                <c:pt idx="5">
                  <c:v>6.6105575976239547E-2</c:v>
                </c:pt>
                <c:pt idx="6">
                  <c:v>9.4802046325860173E-2</c:v>
                </c:pt>
                <c:pt idx="7">
                  <c:v>2.733209809998258E-2</c:v>
                </c:pt>
                <c:pt idx="8">
                  <c:v>2.371936589101133E-2</c:v>
                </c:pt>
                <c:pt idx="9">
                  <c:v>-5.6540241791794863E-4</c:v>
                </c:pt>
                <c:pt idx="10">
                  <c:v>1.0574820743064916E-2</c:v>
                </c:pt>
                <c:pt idx="11">
                  <c:v>1.0757535230246044E-3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4F97-A93B-A883E0DDDB05}"/>
            </c:ext>
          </c:extLst>
        </c:ser>
        <c:ser>
          <c:idx val="1"/>
          <c:order val="1"/>
          <c:tx>
            <c:strRef>
              <c:f>'Fig 2.19'!$C$19</c:f>
              <c:strCache>
                <c:ptCount val="1"/>
                <c:pt idx="0">
                  <c:v>Latam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'Fig 2.19'!$A$6:$A$17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2.19'!$C$6:$C$17</c:f>
              <c:numCache>
                <c:formatCode>0.0%</c:formatCode>
                <c:ptCount val="12"/>
                <c:pt idx="0">
                  <c:v>2.5783352023718603E-3</c:v>
                </c:pt>
                <c:pt idx="1">
                  <c:v>4.8225869602264229E-2</c:v>
                </c:pt>
                <c:pt idx="2">
                  <c:v>1.7986508711310238E-2</c:v>
                </c:pt>
                <c:pt idx="3">
                  <c:v>4.1011459201374362E-2</c:v>
                </c:pt>
                <c:pt idx="4">
                  <c:v>7.1536536154425123E-2</c:v>
                </c:pt>
                <c:pt idx="5">
                  <c:v>6.850252353163265E-2</c:v>
                </c:pt>
                <c:pt idx="6">
                  <c:v>2.7993790983093822E-3</c:v>
                </c:pt>
                <c:pt idx="7">
                  <c:v>1.9901091722869333E-2</c:v>
                </c:pt>
                <c:pt idx="8">
                  <c:v>5.3917130931227089E-2</c:v>
                </c:pt>
                <c:pt idx="9">
                  <c:v>6.7312483388313471E-2</c:v>
                </c:pt>
                <c:pt idx="10">
                  <c:v>4.8373426655254535E-2</c:v>
                </c:pt>
                <c:pt idx="11">
                  <c:v>1.8807807508952074E-2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3-4F97-A93B-A883E0DD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5"/>
        <c:axId val="134026096"/>
        <c:axId val="134026488"/>
      </c:barChart>
      <c:catAx>
        <c:axId val="13402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pt-BR"/>
          </a:p>
        </c:txPr>
        <c:crossAx val="134026488"/>
        <c:crosses val="autoZero"/>
        <c:auto val="1"/>
        <c:lblAlgn val="ctr"/>
        <c:lblOffset val="100"/>
        <c:noMultiLvlLbl val="0"/>
      </c:catAx>
      <c:valAx>
        <c:axId val="134026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3402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2.20'!$B$19</c:f>
              <c:strCache>
                <c:ptCount val="1"/>
                <c:pt idx="0">
                  <c:v>Azul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</c:spPr>
          <c:invertIfNegative val="0"/>
          <c:cat>
            <c:strRef>
              <c:f>'Fig 2.20'!$A$6:$A$17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  <c:extLst xmlns:c15="http://schemas.microsoft.com/office/drawing/2012/chart"/>
            </c:strRef>
          </c:cat>
          <c:val>
            <c:numRef>
              <c:f>'Fig 2.20'!$B$6:$B$17</c:f>
              <c:numCache>
                <c:formatCode>0.0%</c:formatCode>
                <c:ptCount val="12"/>
                <c:pt idx="0">
                  <c:v>1.835140220687358E-2</c:v>
                </c:pt>
                <c:pt idx="1">
                  <c:v>1.8675820606287179E-2</c:v>
                </c:pt>
                <c:pt idx="2">
                  <c:v>-1.7447253707742232E-2</c:v>
                </c:pt>
                <c:pt idx="3">
                  <c:v>6.9281452454016124E-2</c:v>
                </c:pt>
                <c:pt idx="4">
                  <c:v>2.5683704364489041E-2</c:v>
                </c:pt>
                <c:pt idx="5">
                  <c:v>0.11670376901130448</c:v>
                </c:pt>
                <c:pt idx="6">
                  <c:v>0.15781582126371463</c:v>
                </c:pt>
                <c:pt idx="7">
                  <c:v>0.12506196431350575</c:v>
                </c:pt>
                <c:pt idx="8">
                  <c:v>0.1058708495092761</c:v>
                </c:pt>
                <c:pt idx="9">
                  <c:v>0.14630684073466593</c:v>
                </c:pt>
                <c:pt idx="10">
                  <c:v>0.1078509190620798</c:v>
                </c:pt>
                <c:pt idx="11">
                  <c:v>0.12863276977549765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FC9F-44F1-9AC4-736BD5374481}"/>
            </c:ext>
          </c:extLst>
        </c:ser>
        <c:ser>
          <c:idx val="1"/>
          <c:order val="1"/>
          <c:tx>
            <c:strRef>
              <c:f>'Fig 2.20'!$C$19</c:f>
              <c:strCache>
                <c:ptCount val="1"/>
                <c:pt idx="0">
                  <c:v>Avianca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'Fig 2.20'!$A$6:$A$17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2.20'!$C$6:$C$17</c:f>
              <c:numCache>
                <c:formatCode>0.0%</c:formatCode>
                <c:ptCount val="12"/>
                <c:pt idx="0">
                  <c:v>0.10021265829955078</c:v>
                </c:pt>
                <c:pt idx="1">
                  <c:v>9.5109344025100115E-2</c:v>
                </c:pt>
                <c:pt idx="2">
                  <c:v>0.12366823385526352</c:v>
                </c:pt>
                <c:pt idx="3">
                  <c:v>0.22738900292479994</c:v>
                </c:pt>
                <c:pt idx="4">
                  <c:v>0.14559013157784922</c:v>
                </c:pt>
                <c:pt idx="5">
                  <c:v>0.1098556505789559</c:v>
                </c:pt>
                <c:pt idx="6">
                  <c:v>7.7861948565570521E-2</c:v>
                </c:pt>
                <c:pt idx="7">
                  <c:v>6.9275285248325574E-2</c:v>
                </c:pt>
                <c:pt idx="8">
                  <c:v>7.5901158565877924E-2</c:v>
                </c:pt>
                <c:pt idx="9">
                  <c:v>7.0334953842304065E-2</c:v>
                </c:pt>
                <c:pt idx="10">
                  <c:v>2.012815756441716E-2</c:v>
                </c:pt>
                <c:pt idx="11">
                  <c:v>-1.1424087199376728E-2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F-44F1-9AC4-736BD537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65"/>
        <c:axId val="134027272"/>
        <c:axId val="134026880"/>
        <c:extLst/>
      </c:barChart>
      <c:catAx>
        <c:axId val="13402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pt-BR"/>
          </a:p>
        </c:txPr>
        <c:crossAx val="134026880"/>
        <c:crosses val="autoZero"/>
        <c:auto val="1"/>
        <c:lblAlgn val="ctr"/>
        <c:lblOffset val="100"/>
        <c:noMultiLvlLbl val="0"/>
      </c:catAx>
      <c:valAx>
        <c:axId val="134026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34027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F30B-45FD-A4F9-CD9A1DEE9BF5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0B-45FD-A4F9-CD9A1DEE9BF5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30B-45FD-A4F9-CD9A1DEE9BF5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30B-45FD-A4F9-CD9A1DEE9BF5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30B-45FD-A4F9-CD9A1DEE9BF5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0B-45FD-A4F9-CD9A1DEE9BF5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30B-45FD-A4F9-CD9A1DEE9BF5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30B-45FD-A4F9-CD9A1DEE9BF5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30B-45FD-A4F9-CD9A1DEE9BF5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E-633F-4C5C-898A-4BC749D4643B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F30B-45FD-A4F9-CD9A1DEE9BF5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F30B-45FD-A4F9-CD9A1DEE9BF5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F30B-45FD-A4F9-CD9A1DEE9BF5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6-F30B-45FD-A4F9-CD9A1DEE9BF5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F30B-45FD-A4F9-CD9A1DEE9BF5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F30B-45FD-A4F9-CD9A1DEE9BF5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F30B-45FD-A4F9-CD9A1DEE9BF5}"/>
              </c:ext>
            </c:extLst>
          </c:dPt>
          <c:dPt>
            <c:idx val="48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F-633F-4C5C-898A-4BC749D4643B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2.22'!$A$6:$A$54</c:f>
              <c:strCache>
                <c:ptCount val="49"/>
                <c:pt idx="0">
                  <c:v> SBVT-ES </c:v>
                </c:pt>
                <c:pt idx="1">
                  <c:v> ES Total </c:v>
                </c:pt>
                <c:pt idx="2">
                  <c:v> SNXB-MG </c:v>
                </c:pt>
                <c:pt idx="3">
                  <c:v> SNNU-MG </c:v>
                </c:pt>
                <c:pt idx="4">
                  <c:v> SNUH-MG </c:v>
                </c:pt>
                <c:pt idx="5">
                  <c:v> SNGX-MG </c:v>
                </c:pt>
                <c:pt idx="6">
                  <c:v> SNDV-MG </c:v>
                </c:pt>
                <c:pt idx="7">
                  <c:v> SNPJ-MG </c:v>
                </c:pt>
                <c:pt idx="8">
                  <c:v> SNZR-MG </c:v>
                </c:pt>
                <c:pt idx="9">
                  <c:v> SNAR-MG </c:v>
                </c:pt>
                <c:pt idx="10">
                  <c:v> SNOS-MG </c:v>
                </c:pt>
                <c:pt idx="11">
                  <c:v> SBPC-MG </c:v>
                </c:pt>
                <c:pt idx="12">
                  <c:v> SNUI-MG </c:v>
                </c:pt>
                <c:pt idx="13">
                  <c:v> SNZA-MG </c:v>
                </c:pt>
                <c:pt idx="14">
                  <c:v> SNDT-MG </c:v>
                </c:pt>
                <c:pt idx="15">
                  <c:v> SBAX-MG </c:v>
                </c:pt>
                <c:pt idx="16">
                  <c:v> SNVC-MG </c:v>
                </c:pt>
                <c:pt idx="17">
                  <c:v> SNJM-MG </c:v>
                </c:pt>
                <c:pt idx="18">
                  <c:v> SNCT-MG </c:v>
                </c:pt>
                <c:pt idx="19">
                  <c:v> SBVG-MG </c:v>
                </c:pt>
                <c:pt idx="20">
                  <c:v> SNPD-MG </c:v>
                </c:pt>
                <c:pt idx="21">
                  <c:v> SNTO-MG </c:v>
                </c:pt>
                <c:pt idx="22">
                  <c:v> SBGV-MG </c:v>
                </c:pt>
                <c:pt idx="23">
                  <c:v> SBUR-MG </c:v>
                </c:pt>
                <c:pt idx="24">
                  <c:v> SBZM-MG </c:v>
                </c:pt>
                <c:pt idx="25">
                  <c:v> SBIP-MG </c:v>
                </c:pt>
                <c:pt idx="26">
                  <c:v> SBBH-MG </c:v>
                </c:pt>
                <c:pt idx="27">
                  <c:v> SBMK-MG </c:v>
                </c:pt>
                <c:pt idx="28">
                  <c:v> SBUL-MG </c:v>
                </c:pt>
                <c:pt idx="29">
                  <c:v> SBCF-MG </c:v>
                </c:pt>
                <c:pt idx="30">
                  <c:v> MG Total </c:v>
                </c:pt>
                <c:pt idx="31">
                  <c:v> SBCP-RJ </c:v>
                </c:pt>
                <c:pt idx="32">
                  <c:v> SBCB-RJ </c:v>
                </c:pt>
                <c:pt idx="33">
                  <c:v> SBGL-RJ </c:v>
                </c:pt>
                <c:pt idx="34">
                  <c:v> SBRJ-RJ </c:v>
                </c:pt>
                <c:pt idx="35">
                  <c:v> RJ Total </c:v>
                </c:pt>
                <c:pt idx="36">
                  <c:v> SBGP-SP </c:v>
                </c:pt>
                <c:pt idx="37">
                  <c:v> SNBA-SP </c:v>
                </c:pt>
                <c:pt idx="38">
                  <c:v> SBSJ-SP </c:v>
                </c:pt>
                <c:pt idx="39">
                  <c:v> SBML-SP </c:v>
                </c:pt>
                <c:pt idx="40">
                  <c:v> SBAU-SP </c:v>
                </c:pt>
                <c:pt idx="41">
                  <c:v> SBAE-SP </c:v>
                </c:pt>
                <c:pt idx="42">
                  <c:v> SBDN-SP </c:v>
                </c:pt>
                <c:pt idx="43">
                  <c:v> SBSR-SP </c:v>
                </c:pt>
                <c:pt idx="44">
                  <c:v> SBRP-SP </c:v>
                </c:pt>
                <c:pt idx="45">
                  <c:v> SBKP-SP </c:v>
                </c:pt>
                <c:pt idx="46">
                  <c:v> SBSP-SP </c:v>
                </c:pt>
                <c:pt idx="47">
                  <c:v> SBGR-SP </c:v>
                </c:pt>
                <c:pt idx="48">
                  <c:v> SP Total </c:v>
                </c:pt>
              </c:strCache>
            </c:strRef>
          </c:cat>
          <c:val>
            <c:numRef>
              <c:f>'Fig 2.22'!$B$6:$B$54</c:f>
              <c:numCache>
                <c:formatCode>_(* #,##0_);_(* \(#,##0\);_(* "-"??_);_(@_)</c:formatCode>
                <c:ptCount val="49"/>
                <c:pt idx="0">
                  <c:v>13259</c:v>
                </c:pt>
                <c:pt idx="1">
                  <c:v>13259</c:v>
                </c:pt>
                <c:pt idx="2">
                  <c:v>1</c:v>
                </c:pt>
                <c:pt idx="3">
                  <c:v>19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41</c:v>
                </c:pt>
                <c:pt idx="8">
                  <c:v>42</c:v>
                </c:pt>
                <c:pt idx="9">
                  <c:v>69</c:v>
                </c:pt>
                <c:pt idx="10">
                  <c:v>80</c:v>
                </c:pt>
                <c:pt idx="11">
                  <c:v>105</c:v>
                </c:pt>
                <c:pt idx="12">
                  <c:v>109</c:v>
                </c:pt>
                <c:pt idx="13">
                  <c:v>116</c:v>
                </c:pt>
                <c:pt idx="14">
                  <c:v>125</c:v>
                </c:pt>
                <c:pt idx="15">
                  <c:v>135</c:v>
                </c:pt>
                <c:pt idx="16">
                  <c:v>139</c:v>
                </c:pt>
                <c:pt idx="17">
                  <c:v>189</c:v>
                </c:pt>
                <c:pt idx="18">
                  <c:v>199</c:v>
                </c:pt>
                <c:pt idx="19">
                  <c:v>205</c:v>
                </c:pt>
                <c:pt idx="20">
                  <c:v>206</c:v>
                </c:pt>
                <c:pt idx="21">
                  <c:v>254</c:v>
                </c:pt>
                <c:pt idx="22">
                  <c:v>443</c:v>
                </c:pt>
                <c:pt idx="23">
                  <c:v>607</c:v>
                </c:pt>
                <c:pt idx="24">
                  <c:v>1189</c:v>
                </c:pt>
                <c:pt idx="25">
                  <c:v>1247</c:v>
                </c:pt>
                <c:pt idx="26">
                  <c:v>1463</c:v>
                </c:pt>
                <c:pt idx="27">
                  <c:v>1565</c:v>
                </c:pt>
                <c:pt idx="28">
                  <c:v>6118</c:v>
                </c:pt>
                <c:pt idx="29">
                  <c:v>47440</c:v>
                </c:pt>
                <c:pt idx="30">
                  <c:v>62192</c:v>
                </c:pt>
                <c:pt idx="31">
                  <c:v>260</c:v>
                </c:pt>
                <c:pt idx="32">
                  <c:v>269</c:v>
                </c:pt>
                <c:pt idx="33">
                  <c:v>38611</c:v>
                </c:pt>
                <c:pt idx="34">
                  <c:v>43768</c:v>
                </c:pt>
                <c:pt idx="35">
                  <c:v>82908</c:v>
                </c:pt>
                <c:pt idx="36">
                  <c:v>1</c:v>
                </c:pt>
                <c:pt idx="37">
                  <c:v>1</c:v>
                </c:pt>
                <c:pt idx="38">
                  <c:v>80</c:v>
                </c:pt>
                <c:pt idx="39">
                  <c:v>611</c:v>
                </c:pt>
                <c:pt idx="40">
                  <c:v>864</c:v>
                </c:pt>
                <c:pt idx="41">
                  <c:v>924</c:v>
                </c:pt>
                <c:pt idx="42">
                  <c:v>1566</c:v>
                </c:pt>
                <c:pt idx="43">
                  <c:v>4509</c:v>
                </c:pt>
                <c:pt idx="44">
                  <c:v>7505</c:v>
                </c:pt>
                <c:pt idx="45">
                  <c:v>46994</c:v>
                </c:pt>
                <c:pt idx="46">
                  <c:v>88061</c:v>
                </c:pt>
                <c:pt idx="47">
                  <c:v>99771</c:v>
                </c:pt>
                <c:pt idx="48">
                  <c:v>250887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0B-45FD-A4F9-CD9A1DEE9B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20608"/>
        <c:axId val="134021000"/>
      </c:barChart>
      <c:catAx>
        <c:axId val="1340206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021000"/>
        <c:crosses val="autoZero"/>
        <c:auto val="1"/>
        <c:lblAlgn val="ctr"/>
        <c:lblOffset val="100"/>
        <c:noMultiLvlLbl val="0"/>
      </c:catAx>
      <c:valAx>
        <c:axId val="13402100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020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4B1-49C4-B49D-92539F78C1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4B1-49C4-B49D-92539F78C17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4B1-49C4-B49D-92539F78C17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B1-49C4-B49D-92539F78C1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4B1-49C4-B49D-92539F78C17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4B1-49C4-B49D-92539F78C17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4B1-49C4-B49D-92539F78C1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4B1-49C4-B49D-92539F78C17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4B1-49C4-B49D-92539F78C1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04B1-49C4-B49D-92539F78C17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4B1-49C4-B49D-92539F78C17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4B1-49C4-B49D-92539F78C17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04B1-49C4-B49D-92539F78C17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4B1-49C4-B49D-92539F78C17D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04B1-49C4-B49D-92539F78C17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04B1-49C4-B49D-92539F78C17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04B1-49C4-B49D-92539F78C17D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04B1-49C4-B49D-92539F78C17D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04B1-49C4-B49D-92539F78C17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04B1-49C4-B49D-92539F78C17D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04B1-49C4-B49D-92539F78C17D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04B1-49C4-B49D-92539F78C17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04B1-49C4-B49D-92539F78C17D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04B1-49C4-B49D-92539F78C17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04B1-49C4-B49D-92539F78C17D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04B1-49C4-B49D-92539F78C17D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04B1-49C4-B49D-92539F78C17D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04B1-49C4-B49D-92539F78C17D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04B1-49C4-B49D-92539F78C17D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04B1-49C4-B49D-92539F78C17D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04B1-49C4-B49D-92539F78C17D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04B1-49C4-B49D-92539F78C17D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04B1-49C4-B49D-92539F78C17D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C-AD2D-419A-9D44-3E9DDC8E7902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04B1-49C4-B49D-92539F78C17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2.23'!$A$6:$A$43</c:f>
              <c:strCache>
                <c:ptCount val="38"/>
                <c:pt idx="0">
                  <c:v> SBPB-PI </c:v>
                </c:pt>
                <c:pt idx="1">
                  <c:v> SBTE-PI </c:v>
                </c:pt>
                <c:pt idx="2">
                  <c:v> PI Total </c:v>
                </c:pt>
                <c:pt idx="3">
                  <c:v> SBAR-SE </c:v>
                </c:pt>
                <c:pt idx="4">
                  <c:v> SE Total </c:v>
                </c:pt>
                <c:pt idx="5">
                  <c:v> SBKG-PB </c:v>
                </c:pt>
                <c:pt idx="6">
                  <c:v> SBJP-PB </c:v>
                </c:pt>
                <c:pt idx="7">
                  <c:v> PB Total </c:v>
                </c:pt>
                <c:pt idx="8">
                  <c:v> SBMO-AL </c:v>
                </c:pt>
                <c:pt idx="9">
                  <c:v> AL Total </c:v>
                </c:pt>
                <c:pt idx="10">
                  <c:v> SBIZ-MA </c:v>
                </c:pt>
                <c:pt idx="11">
                  <c:v> SBSL-MA </c:v>
                </c:pt>
                <c:pt idx="12">
                  <c:v> MA Total </c:v>
                </c:pt>
                <c:pt idx="13">
                  <c:v> SBMS-RN </c:v>
                </c:pt>
                <c:pt idx="14">
                  <c:v> SBSG-RN </c:v>
                </c:pt>
                <c:pt idx="15">
                  <c:v> RN Total </c:v>
                </c:pt>
                <c:pt idx="16">
                  <c:v> SBJE-CE </c:v>
                </c:pt>
                <c:pt idx="17">
                  <c:v> SBJU-CE </c:v>
                </c:pt>
                <c:pt idx="18">
                  <c:v> SBFZ-CE </c:v>
                </c:pt>
                <c:pt idx="19">
                  <c:v> CE Total </c:v>
                </c:pt>
                <c:pt idx="20">
                  <c:v> SNHS-PE </c:v>
                </c:pt>
                <c:pt idx="21">
                  <c:v> SBFN-PE </c:v>
                </c:pt>
                <c:pt idx="22">
                  <c:v> SBPL-PE </c:v>
                </c:pt>
                <c:pt idx="23">
                  <c:v> SBRF-PE </c:v>
                </c:pt>
                <c:pt idx="24">
                  <c:v> PE Total </c:v>
                </c:pt>
                <c:pt idx="25">
                  <c:v> SBFE-BA </c:v>
                </c:pt>
                <c:pt idx="26">
                  <c:v> SNVB-BA </c:v>
                </c:pt>
                <c:pt idx="27">
                  <c:v> SBTC-BA </c:v>
                </c:pt>
                <c:pt idx="28">
                  <c:v> SBLE-BA </c:v>
                </c:pt>
                <c:pt idx="29">
                  <c:v> SBUF-BA </c:v>
                </c:pt>
                <c:pt idx="30">
                  <c:v> SNTF-BA </c:v>
                </c:pt>
                <c:pt idx="31">
                  <c:v> SNBR-BA </c:v>
                </c:pt>
                <c:pt idx="32">
                  <c:v> SBQV-BA </c:v>
                </c:pt>
                <c:pt idx="33">
                  <c:v> SBIL-BA </c:v>
                </c:pt>
                <c:pt idx="34">
                  <c:v> SBPS-BA </c:v>
                </c:pt>
                <c:pt idx="35">
                  <c:v> SBSV-BA </c:v>
                </c:pt>
                <c:pt idx="36">
                  <c:v> BA Total </c:v>
                </c:pt>
                <c:pt idx="37">
                  <c:v> Total Região Sudeste </c:v>
                </c:pt>
              </c:strCache>
            </c:strRef>
          </c:cat>
          <c:val>
            <c:numRef>
              <c:f>'Fig 2.23'!$B$6:$B$42</c:f>
              <c:numCache>
                <c:formatCode>_(* #,##0_);_(* \(#,##0\);_(* "-"??_);_(@_)</c:formatCode>
                <c:ptCount val="37"/>
                <c:pt idx="0">
                  <c:v>51</c:v>
                </c:pt>
                <c:pt idx="1">
                  <c:v>4466</c:v>
                </c:pt>
                <c:pt idx="2">
                  <c:v>4517</c:v>
                </c:pt>
                <c:pt idx="3">
                  <c:v>4532</c:v>
                </c:pt>
                <c:pt idx="4">
                  <c:v>4532</c:v>
                </c:pt>
                <c:pt idx="5">
                  <c:v>861</c:v>
                </c:pt>
                <c:pt idx="6">
                  <c:v>5297</c:v>
                </c:pt>
                <c:pt idx="7">
                  <c:v>6158</c:v>
                </c:pt>
                <c:pt idx="8">
                  <c:v>7631</c:v>
                </c:pt>
                <c:pt idx="9">
                  <c:v>7631</c:v>
                </c:pt>
                <c:pt idx="10">
                  <c:v>1218</c:v>
                </c:pt>
                <c:pt idx="11">
                  <c:v>6749</c:v>
                </c:pt>
                <c:pt idx="12">
                  <c:v>7967</c:v>
                </c:pt>
                <c:pt idx="13">
                  <c:v>133</c:v>
                </c:pt>
                <c:pt idx="14">
                  <c:v>8482</c:v>
                </c:pt>
                <c:pt idx="15">
                  <c:v>8615</c:v>
                </c:pt>
                <c:pt idx="16">
                  <c:v>410</c:v>
                </c:pt>
                <c:pt idx="17">
                  <c:v>2872</c:v>
                </c:pt>
                <c:pt idx="18">
                  <c:v>21674</c:v>
                </c:pt>
                <c:pt idx="19">
                  <c:v>24956</c:v>
                </c:pt>
                <c:pt idx="20">
                  <c:v>1</c:v>
                </c:pt>
                <c:pt idx="21">
                  <c:v>1691</c:v>
                </c:pt>
                <c:pt idx="22">
                  <c:v>1956</c:v>
                </c:pt>
                <c:pt idx="23">
                  <c:v>32472</c:v>
                </c:pt>
                <c:pt idx="24">
                  <c:v>36120</c:v>
                </c:pt>
                <c:pt idx="25">
                  <c:v>54</c:v>
                </c:pt>
                <c:pt idx="26">
                  <c:v>54</c:v>
                </c:pt>
                <c:pt idx="27">
                  <c:v>76</c:v>
                </c:pt>
                <c:pt idx="28">
                  <c:v>104</c:v>
                </c:pt>
                <c:pt idx="29">
                  <c:v>109</c:v>
                </c:pt>
                <c:pt idx="30">
                  <c:v>279</c:v>
                </c:pt>
                <c:pt idx="31">
                  <c:v>1022</c:v>
                </c:pt>
                <c:pt idx="32">
                  <c:v>2353</c:v>
                </c:pt>
                <c:pt idx="33">
                  <c:v>2804</c:v>
                </c:pt>
                <c:pt idx="34">
                  <c:v>6255</c:v>
                </c:pt>
                <c:pt idx="35">
                  <c:v>29087</c:v>
                </c:pt>
                <c:pt idx="36">
                  <c:v>42197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B1-49C4-B49D-92539F78C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21392"/>
        <c:axId val="134022960"/>
      </c:barChart>
      <c:catAx>
        <c:axId val="1340213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022960"/>
        <c:crosses val="autoZero"/>
        <c:auto val="1"/>
        <c:lblAlgn val="ctr"/>
        <c:lblOffset val="100"/>
        <c:noMultiLvlLbl val="0"/>
      </c:catAx>
      <c:valAx>
        <c:axId val="13402296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02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0EA00"/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660-45CD-AA3B-6089E87D88BD}"/>
              </c:ext>
            </c:extLst>
          </c:dPt>
          <c:dPt>
            <c:idx val="6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2-5660-45CD-AA3B-6089E87D88B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660-45CD-AA3B-6089E87D88B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660-45CD-AA3B-6089E87D88B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660-45CD-AA3B-6089E87D88B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660-45CD-AA3B-6089E87D88BD}"/>
              </c:ext>
            </c:extLst>
          </c:dPt>
          <c:dPt>
            <c:idx val="14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8-5660-45CD-AA3B-6089E87D88BD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660-45CD-AA3B-6089E87D88BD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660-45CD-AA3B-6089E87D88BD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660-45CD-AA3B-6089E87D88BD}"/>
              </c:ext>
            </c:extLst>
          </c:dPt>
          <c:dPt>
            <c:idx val="21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C-5660-45CD-AA3B-6089E87D88B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660-45CD-AA3B-6089E87D88BD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660-45CD-AA3B-6089E87D88BD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660-45CD-AA3B-6089E87D88B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2.24'!$A$6:$A$27</c:f>
              <c:strCache>
                <c:ptCount val="22"/>
                <c:pt idx="0">
                  <c:v> SBLJ-SC </c:v>
                </c:pt>
                <c:pt idx="1">
                  <c:v> SBJA-SC </c:v>
                </c:pt>
                <c:pt idx="2">
                  <c:v> SBCH-SC </c:v>
                </c:pt>
                <c:pt idx="3">
                  <c:v> SBJV-SC </c:v>
                </c:pt>
                <c:pt idx="4">
                  <c:v> SBNF-SC </c:v>
                </c:pt>
                <c:pt idx="5">
                  <c:v> SBFL-SC </c:v>
                </c:pt>
                <c:pt idx="6">
                  <c:v> SC Total </c:v>
                </c:pt>
                <c:pt idx="7">
                  <c:v> SBNM-RS </c:v>
                </c:pt>
                <c:pt idx="8">
                  <c:v> SBUG-RS </c:v>
                </c:pt>
                <c:pt idx="9">
                  <c:v> SBPK-RS </c:v>
                </c:pt>
                <c:pt idx="10">
                  <c:v> SBSM-RS </c:v>
                </c:pt>
                <c:pt idx="11">
                  <c:v> SBPF-RS </c:v>
                </c:pt>
                <c:pt idx="12">
                  <c:v> SBCX-RS </c:v>
                </c:pt>
                <c:pt idx="13">
                  <c:v> SBPA-RS </c:v>
                </c:pt>
                <c:pt idx="14">
                  <c:v> RS Total </c:v>
                </c:pt>
                <c:pt idx="15">
                  <c:v> SSZW-PR </c:v>
                </c:pt>
                <c:pt idx="16">
                  <c:v> SBCA-PR </c:v>
                </c:pt>
                <c:pt idx="17">
                  <c:v> SBMG-PR </c:v>
                </c:pt>
                <c:pt idx="18">
                  <c:v> SBLO-PR </c:v>
                </c:pt>
                <c:pt idx="19">
                  <c:v> SBFI-PR </c:v>
                </c:pt>
                <c:pt idx="20">
                  <c:v> SBCT-PR </c:v>
                </c:pt>
                <c:pt idx="21">
                  <c:v> PR Total </c:v>
                </c:pt>
              </c:strCache>
            </c:strRef>
          </c:cat>
          <c:val>
            <c:numRef>
              <c:f>'Fig 2.24'!$B$6:$B$27</c:f>
              <c:numCache>
                <c:formatCode>_(* #,##0_);_(* \(#,##0\);_(* "-"??_);_(@_)</c:formatCode>
                <c:ptCount val="22"/>
                <c:pt idx="0">
                  <c:v>222</c:v>
                </c:pt>
                <c:pt idx="1">
                  <c:v>608</c:v>
                </c:pt>
                <c:pt idx="2">
                  <c:v>2200</c:v>
                </c:pt>
                <c:pt idx="3">
                  <c:v>2490</c:v>
                </c:pt>
                <c:pt idx="4">
                  <c:v>7787</c:v>
                </c:pt>
                <c:pt idx="5">
                  <c:v>14837</c:v>
                </c:pt>
                <c:pt idx="6">
                  <c:v>28144</c:v>
                </c:pt>
                <c:pt idx="7">
                  <c:v>203</c:v>
                </c:pt>
                <c:pt idx="8">
                  <c:v>207</c:v>
                </c:pt>
                <c:pt idx="9">
                  <c:v>296</c:v>
                </c:pt>
                <c:pt idx="10">
                  <c:v>308</c:v>
                </c:pt>
                <c:pt idx="11">
                  <c:v>704</c:v>
                </c:pt>
                <c:pt idx="12">
                  <c:v>933</c:v>
                </c:pt>
                <c:pt idx="13">
                  <c:v>31429</c:v>
                </c:pt>
                <c:pt idx="14">
                  <c:v>34080</c:v>
                </c:pt>
                <c:pt idx="15">
                  <c:v>160</c:v>
                </c:pt>
                <c:pt idx="16">
                  <c:v>1267</c:v>
                </c:pt>
                <c:pt idx="17">
                  <c:v>3594</c:v>
                </c:pt>
                <c:pt idx="18">
                  <c:v>5073</c:v>
                </c:pt>
                <c:pt idx="19">
                  <c:v>8036</c:v>
                </c:pt>
                <c:pt idx="20">
                  <c:v>28505</c:v>
                </c:pt>
                <c:pt idx="21">
                  <c:v>46635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60-45CD-AA3B-6089E87D88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23352"/>
        <c:axId val="134022568"/>
      </c:barChart>
      <c:catAx>
        <c:axId val="1340233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022568"/>
        <c:crosses val="autoZero"/>
        <c:auto val="1"/>
        <c:lblAlgn val="ctr"/>
        <c:lblOffset val="100"/>
        <c:noMultiLvlLbl val="0"/>
      </c:catAx>
      <c:valAx>
        <c:axId val="134022568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023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1.3'!$B$5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1.3'!$A$6:$A$21</c:f>
              <c:strCache>
                <c:ptCount val="16"/>
                <c:pt idx="0">
                  <c:v>Abaeté</c:v>
                </c:pt>
                <c:pt idx="1">
                  <c:v>Azul</c:v>
                </c:pt>
                <c:pt idx="2">
                  <c:v>Flyways</c:v>
                </c:pt>
                <c:pt idx="3">
                  <c:v>Gol</c:v>
                </c:pt>
                <c:pt idx="4">
                  <c:v>Absa</c:v>
                </c:pt>
                <c:pt idx="5">
                  <c:v>Avianca</c:v>
                </c:pt>
                <c:pt idx="6">
                  <c:v>MAP</c:v>
                </c:pt>
                <c:pt idx="7">
                  <c:v>Passaredo</c:v>
                </c:pt>
                <c:pt idx="8">
                  <c:v>Rio Linhas Aéreas</c:v>
                </c:pt>
                <c:pt idx="9">
                  <c:v>Sideral</c:v>
                </c:pt>
                <c:pt idx="10">
                  <c:v>Sete</c:v>
                </c:pt>
                <c:pt idx="11">
                  <c:v>Sterna</c:v>
                </c:pt>
                <c:pt idx="12">
                  <c:v>Latam</c:v>
                </c:pt>
                <c:pt idx="13">
                  <c:v>Total Linhas Aéreas</c:v>
                </c:pt>
                <c:pt idx="14">
                  <c:v>Modern</c:v>
                </c:pt>
                <c:pt idx="15">
                  <c:v>Two</c:v>
                </c:pt>
              </c:strCache>
            </c:strRef>
          </c:cat>
          <c:val>
            <c:numRef>
              <c:f>'Fig 1.3'!$B$6:$B$21</c:f>
              <c:numCache>
                <c:formatCode>_(* #,##0.0_);_(* \(#,##0.0\);_(* "-"??_);_(@_)</c:formatCode>
                <c:ptCount val="16"/>
                <c:pt idx="0">
                  <c:v>2</c:v>
                </c:pt>
                <c:pt idx="1">
                  <c:v>82.427419354838705</c:v>
                </c:pt>
                <c:pt idx="2">
                  <c:v>110</c:v>
                </c:pt>
                <c:pt idx="3">
                  <c:v>118.1953125</c:v>
                </c:pt>
                <c:pt idx="4">
                  <c:v>66.75</c:v>
                </c:pt>
                <c:pt idx="5">
                  <c:v>0</c:v>
                </c:pt>
                <c:pt idx="6">
                  <c:v>38.75</c:v>
                </c:pt>
                <c:pt idx="7">
                  <c:v>83.111111111111114</c:v>
                </c:pt>
                <c:pt idx="8">
                  <c:v>22</c:v>
                </c:pt>
                <c:pt idx="9">
                  <c:v>31.714285714285715</c:v>
                </c:pt>
                <c:pt idx="10">
                  <c:v>19</c:v>
                </c:pt>
                <c:pt idx="11">
                  <c:v>21</c:v>
                </c:pt>
                <c:pt idx="12">
                  <c:v>138.96363636363637</c:v>
                </c:pt>
                <c:pt idx="13">
                  <c:v>40.799999999999997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8-46E0-8FC6-A621F34FBFC7}"/>
            </c:ext>
          </c:extLst>
        </c:ser>
        <c:ser>
          <c:idx val="1"/>
          <c:order val="1"/>
          <c:tx>
            <c:strRef>
              <c:f>'Fig 1.3'!$C$5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1.3'!$A$6:$A$21</c:f>
              <c:strCache>
                <c:ptCount val="16"/>
                <c:pt idx="0">
                  <c:v>Abaeté</c:v>
                </c:pt>
                <c:pt idx="1">
                  <c:v>Azul</c:v>
                </c:pt>
                <c:pt idx="2">
                  <c:v>Flyways</c:v>
                </c:pt>
                <c:pt idx="3">
                  <c:v>Gol</c:v>
                </c:pt>
                <c:pt idx="4">
                  <c:v>Absa</c:v>
                </c:pt>
                <c:pt idx="5">
                  <c:v>Avianca</c:v>
                </c:pt>
                <c:pt idx="6">
                  <c:v>MAP</c:v>
                </c:pt>
                <c:pt idx="7">
                  <c:v>Passaredo</c:v>
                </c:pt>
                <c:pt idx="8">
                  <c:v>Rio Linhas Aéreas</c:v>
                </c:pt>
                <c:pt idx="9">
                  <c:v>Sideral</c:v>
                </c:pt>
                <c:pt idx="10">
                  <c:v>Sete</c:v>
                </c:pt>
                <c:pt idx="11">
                  <c:v>Sterna</c:v>
                </c:pt>
                <c:pt idx="12">
                  <c:v>Latam</c:v>
                </c:pt>
                <c:pt idx="13">
                  <c:v>Total Linhas Aéreas</c:v>
                </c:pt>
                <c:pt idx="14">
                  <c:v>Modern</c:v>
                </c:pt>
                <c:pt idx="15">
                  <c:v>Two</c:v>
                </c:pt>
              </c:strCache>
            </c:strRef>
          </c:cat>
          <c:val>
            <c:numRef>
              <c:f>'Fig 1.3'!$C$6:$C$21</c:f>
              <c:numCache>
                <c:formatCode>_(* #,##0.0_);_(* \(#,##0.0\);_(* "-"??_);_(@_)</c:formatCode>
                <c:ptCount val="16"/>
                <c:pt idx="0">
                  <c:v>0</c:v>
                </c:pt>
                <c:pt idx="1">
                  <c:v>85.374045801526719</c:v>
                </c:pt>
                <c:pt idx="2">
                  <c:v>0</c:v>
                </c:pt>
                <c:pt idx="3">
                  <c:v>102.36134453781513</c:v>
                </c:pt>
                <c:pt idx="4">
                  <c:v>54.25</c:v>
                </c:pt>
                <c:pt idx="5">
                  <c:v>0</c:v>
                </c:pt>
                <c:pt idx="6">
                  <c:v>43.5</c:v>
                </c:pt>
                <c:pt idx="7">
                  <c:v>105.75</c:v>
                </c:pt>
                <c:pt idx="8">
                  <c:v>47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151.75694444444446</c:v>
                </c:pt>
                <c:pt idx="13">
                  <c:v>37.4</c:v>
                </c:pt>
                <c:pt idx="14">
                  <c:v>122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8-46E0-8FC6-A621F34FBFC7}"/>
            </c:ext>
          </c:extLst>
        </c:ser>
        <c:ser>
          <c:idx val="2"/>
          <c:order val="2"/>
          <c:tx>
            <c:strRef>
              <c:f>'Fig 1.3'!$D$5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1.3'!$A$6:$A$21</c:f>
              <c:strCache>
                <c:ptCount val="16"/>
                <c:pt idx="0">
                  <c:v>Abaeté</c:v>
                </c:pt>
                <c:pt idx="1">
                  <c:v>Azul</c:v>
                </c:pt>
                <c:pt idx="2">
                  <c:v>Flyways</c:v>
                </c:pt>
                <c:pt idx="3">
                  <c:v>Gol</c:v>
                </c:pt>
                <c:pt idx="4">
                  <c:v>Absa</c:v>
                </c:pt>
                <c:pt idx="5">
                  <c:v>Avianca</c:v>
                </c:pt>
                <c:pt idx="6">
                  <c:v>MAP</c:v>
                </c:pt>
                <c:pt idx="7">
                  <c:v>Passaredo</c:v>
                </c:pt>
                <c:pt idx="8">
                  <c:v>Rio Linhas Aéreas</c:v>
                </c:pt>
                <c:pt idx="9">
                  <c:v>Sideral</c:v>
                </c:pt>
                <c:pt idx="10">
                  <c:v>Sete</c:v>
                </c:pt>
                <c:pt idx="11">
                  <c:v>Sterna</c:v>
                </c:pt>
                <c:pt idx="12">
                  <c:v>Latam</c:v>
                </c:pt>
                <c:pt idx="13">
                  <c:v>Total Linhas Aéreas</c:v>
                </c:pt>
                <c:pt idx="14">
                  <c:v>Modern</c:v>
                </c:pt>
                <c:pt idx="15">
                  <c:v>Two</c:v>
                </c:pt>
              </c:strCache>
            </c:strRef>
          </c:cat>
          <c:val>
            <c:numRef>
              <c:f>'Fig 1.3'!$D$6:$D$21</c:f>
              <c:numCache>
                <c:formatCode>_(* #,##0.0_);_(* \(#,##0.0\);_(* "-"??_);_(@_)</c:formatCode>
                <c:ptCount val="16"/>
                <c:pt idx="0">
                  <c:v>0</c:v>
                </c:pt>
                <c:pt idx="1">
                  <c:v>94.28125</c:v>
                </c:pt>
                <c:pt idx="2">
                  <c:v>0</c:v>
                </c:pt>
                <c:pt idx="3">
                  <c:v>101.23140495867769</c:v>
                </c:pt>
                <c:pt idx="4">
                  <c:v>51.5</c:v>
                </c:pt>
                <c:pt idx="5">
                  <c:v>0</c:v>
                </c:pt>
                <c:pt idx="6">
                  <c:v>40.4</c:v>
                </c:pt>
                <c:pt idx="7">
                  <c:v>119.8</c:v>
                </c:pt>
                <c:pt idx="8">
                  <c:v>0</c:v>
                </c:pt>
                <c:pt idx="9">
                  <c:v>19.866666666666667</c:v>
                </c:pt>
                <c:pt idx="10">
                  <c:v>0</c:v>
                </c:pt>
                <c:pt idx="11">
                  <c:v>0</c:v>
                </c:pt>
                <c:pt idx="12">
                  <c:v>120.67948717948718</c:v>
                </c:pt>
                <c:pt idx="13">
                  <c:v>46</c:v>
                </c:pt>
                <c:pt idx="14">
                  <c:v>50</c:v>
                </c:pt>
                <c:pt idx="15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8-46E0-8FC6-A621F34F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31252000"/>
        <c:axId val="131252784"/>
      </c:barChart>
      <c:catAx>
        <c:axId val="1312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1252784"/>
        <c:crosses val="autoZero"/>
        <c:auto val="1"/>
        <c:lblAlgn val="ctr"/>
        <c:lblOffset val="100"/>
        <c:noMultiLvlLbl val="0"/>
      </c:catAx>
      <c:valAx>
        <c:axId val="1312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12520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749-4C62-83B9-203EFD9545D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749-4C62-83B9-203EFD9545D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749-4C62-83B9-203EFD9545D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749-4C62-83B9-203EFD9545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3AA3-4DA4-947E-B91F7F76F86C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749-4C62-83B9-203EFD9545D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749-4C62-83B9-203EFD9545D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749-4C62-83B9-203EFD9545D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3AA3-4DA4-947E-B91F7F76F86C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749-4C62-83B9-203EFD9545D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3AA3-4DA4-947E-B91F7F76F86C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749-4C62-83B9-203EFD9545DF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749-4C62-83B9-203EFD9545D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749-4C62-83B9-203EFD9545DF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749-4C62-83B9-203EFD9545DF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749-4C62-83B9-203EFD9545D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2.25'!$A$6:$A$25</c:f>
              <c:strCache>
                <c:ptCount val="20"/>
                <c:pt idx="0">
                  <c:v> SSBH-MS </c:v>
                </c:pt>
                <c:pt idx="1">
                  <c:v> SBDB-MS </c:v>
                </c:pt>
                <c:pt idx="2">
                  <c:v> SBCR-MS </c:v>
                </c:pt>
                <c:pt idx="3">
                  <c:v> SBTG-MS </c:v>
                </c:pt>
                <c:pt idx="4">
                  <c:v> SBDO-MS </c:v>
                </c:pt>
                <c:pt idx="5">
                  <c:v> SBCG-MS </c:v>
                </c:pt>
                <c:pt idx="6">
                  <c:v> MS Total </c:v>
                </c:pt>
                <c:pt idx="7">
                  <c:v> SBBW-MT </c:v>
                </c:pt>
                <c:pt idx="8">
                  <c:v> SBSO-MT </c:v>
                </c:pt>
                <c:pt idx="9">
                  <c:v> SBAT-MT </c:v>
                </c:pt>
                <c:pt idx="10">
                  <c:v> SBRD-MT </c:v>
                </c:pt>
                <c:pt idx="11">
                  <c:v> SWSI-MT </c:v>
                </c:pt>
                <c:pt idx="12">
                  <c:v> SBCY-MT </c:v>
                </c:pt>
                <c:pt idx="13">
                  <c:v> MT Total </c:v>
                </c:pt>
                <c:pt idx="14">
                  <c:v> SWLC-GO </c:v>
                </c:pt>
                <c:pt idx="15">
                  <c:v> SBCN-GO </c:v>
                </c:pt>
                <c:pt idx="16">
                  <c:v> SBGO-GO </c:v>
                </c:pt>
                <c:pt idx="17">
                  <c:v> GO Total </c:v>
                </c:pt>
                <c:pt idx="18">
                  <c:v> SBBR-DF </c:v>
                </c:pt>
                <c:pt idx="19">
                  <c:v> DF Total </c:v>
                </c:pt>
              </c:strCache>
            </c:strRef>
          </c:cat>
          <c:val>
            <c:numRef>
              <c:f>'Fig 2.25'!$B$6:$B$25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184</c:v>
                </c:pt>
                <c:pt idx="2">
                  <c:v>232</c:v>
                </c:pt>
                <c:pt idx="3">
                  <c:v>458</c:v>
                </c:pt>
                <c:pt idx="4">
                  <c:v>598</c:v>
                </c:pt>
                <c:pt idx="5">
                  <c:v>6724</c:v>
                </c:pt>
                <c:pt idx="6">
                  <c:v>8197</c:v>
                </c:pt>
                <c:pt idx="7">
                  <c:v>213</c:v>
                </c:pt>
                <c:pt idx="8">
                  <c:v>262</c:v>
                </c:pt>
                <c:pt idx="9">
                  <c:v>358</c:v>
                </c:pt>
                <c:pt idx="10">
                  <c:v>550</c:v>
                </c:pt>
                <c:pt idx="11">
                  <c:v>778</c:v>
                </c:pt>
                <c:pt idx="12">
                  <c:v>13911</c:v>
                </c:pt>
                <c:pt idx="13">
                  <c:v>16072</c:v>
                </c:pt>
                <c:pt idx="14">
                  <c:v>298</c:v>
                </c:pt>
                <c:pt idx="15">
                  <c:v>614</c:v>
                </c:pt>
                <c:pt idx="16">
                  <c:v>15267</c:v>
                </c:pt>
                <c:pt idx="17">
                  <c:v>16179</c:v>
                </c:pt>
                <c:pt idx="18">
                  <c:v>65370</c:v>
                </c:pt>
                <c:pt idx="19">
                  <c:v>65370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49-4C62-83B9-203EFD9545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93992"/>
        <c:axId val="134875712"/>
      </c:barChart>
      <c:catAx>
        <c:axId val="1345939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875712"/>
        <c:crosses val="autoZero"/>
        <c:auto val="1"/>
        <c:lblAlgn val="ctr"/>
        <c:lblOffset val="100"/>
        <c:noMultiLvlLbl val="0"/>
      </c:catAx>
      <c:valAx>
        <c:axId val="134875712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593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1547531987609"/>
          <c:y val="2.2810565201285962E-2"/>
          <c:w val="0.84357683598978761"/>
          <c:h val="0.966460724162103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7E8-41D0-965A-2F358C30CA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7E8-41D0-965A-2F358C30CAF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7E8-41D0-965A-2F358C30CA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7E8-41D0-965A-2F358C30CAF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7E8-41D0-965A-2F358C30CAF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7E8-41D0-965A-2F358C30CAF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7E8-41D0-965A-2F358C30CAF4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7E8-41D0-965A-2F358C30CAF4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7E8-41D0-965A-2F358C30CAF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E7E8-41D0-965A-2F358C30CAF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7E8-41D0-965A-2F358C30CAF4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7E8-41D0-965A-2F358C30CAF4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7E8-41D0-965A-2F358C30CAF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CFC7-4746-87D7-8616BF4A18BD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7E8-41D0-965A-2F358C30CAF4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7E8-41D0-965A-2F358C30CAF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E7E8-41D0-965A-2F358C30CAF4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7E8-41D0-965A-2F358C30CAF4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7E8-41D0-965A-2F358C30CAF4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7E8-41D0-965A-2F358C30CAF4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7E8-41D0-965A-2F358C30CAF4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7E8-41D0-965A-2F358C30CAF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2.26'!$A$6:$A$41</c:f>
              <c:strCache>
                <c:ptCount val="36"/>
                <c:pt idx="0">
                  <c:v> SBBV-RR </c:v>
                </c:pt>
                <c:pt idx="1">
                  <c:v> RR Total </c:v>
                </c:pt>
                <c:pt idx="2">
                  <c:v> SBCZ-AC </c:v>
                </c:pt>
                <c:pt idx="3">
                  <c:v> SBRB-AC </c:v>
                </c:pt>
                <c:pt idx="4">
                  <c:v> AC Total </c:v>
                </c:pt>
                <c:pt idx="5">
                  <c:v> SBMQ-AP </c:v>
                </c:pt>
                <c:pt idx="6">
                  <c:v> AP Total </c:v>
                </c:pt>
                <c:pt idx="7">
                  <c:v> SWGN-TO </c:v>
                </c:pt>
                <c:pt idx="8">
                  <c:v> SBPJ-TO </c:v>
                </c:pt>
                <c:pt idx="9">
                  <c:v> TO Total </c:v>
                </c:pt>
                <c:pt idx="10">
                  <c:v> SSKW-RO </c:v>
                </c:pt>
                <c:pt idx="11">
                  <c:v> SBVH-RO </c:v>
                </c:pt>
                <c:pt idx="12">
                  <c:v> SBJI-RO </c:v>
                </c:pt>
                <c:pt idx="13">
                  <c:v> SBPV-RO </c:v>
                </c:pt>
                <c:pt idx="14">
                  <c:v> RO Total </c:v>
                </c:pt>
                <c:pt idx="15">
                  <c:v> SBMN-AM </c:v>
                </c:pt>
                <c:pt idx="16">
                  <c:v> SWLB-AM </c:v>
                </c:pt>
                <c:pt idx="17">
                  <c:v> SWBC-AM </c:v>
                </c:pt>
                <c:pt idx="18">
                  <c:v> SWKO-AM </c:v>
                </c:pt>
                <c:pt idx="19">
                  <c:v> SBUA-AM </c:v>
                </c:pt>
                <c:pt idx="20">
                  <c:v> SWEI-AM </c:v>
                </c:pt>
                <c:pt idx="21">
                  <c:v> SWCA-AM </c:v>
                </c:pt>
                <c:pt idx="22">
                  <c:v> SBTT-AM </c:v>
                </c:pt>
                <c:pt idx="23">
                  <c:v> SBTF-AM </c:v>
                </c:pt>
                <c:pt idx="24">
                  <c:v> SWPI-AM </c:v>
                </c:pt>
                <c:pt idx="25">
                  <c:v> SBUY-AM </c:v>
                </c:pt>
                <c:pt idx="26">
                  <c:v> SBEG-AM </c:v>
                </c:pt>
                <c:pt idx="27">
                  <c:v> AM Total </c:v>
                </c:pt>
                <c:pt idx="28">
                  <c:v> SBIH-PA </c:v>
                </c:pt>
                <c:pt idx="29">
                  <c:v> SBTB-PA </c:v>
                </c:pt>
                <c:pt idx="30">
                  <c:v> SBCJ-PA </c:v>
                </c:pt>
                <c:pt idx="31">
                  <c:v> SBHT-PA </c:v>
                </c:pt>
                <c:pt idx="32">
                  <c:v> SBMA-PA </c:v>
                </c:pt>
                <c:pt idx="33">
                  <c:v> SBSN-PA </c:v>
                </c:pt>
                <c:pt idx="34">
                  <c:v> SBBE-PA </c:v>
                </c:pt>
                <c:pt idx="35">
                  <c:v> PA Total </c:v>
                </c:pt>
              </c:strCache>
            </c:strRef>
          </c:cat>
          <c:val>
            <c:numRef>
              <c:f>'Fig 2.26'!$B$6:$B$41</c:f>
              <c:numCache>
                <c:formatCode>_(* #,##0_);_(* \(#,##0\);_(* "-"??_);_(@_)</c:formatCode>
                <c:ptCount val="36"/>
                <c:pt idx="0">
                  <c:v>1115</c:v>
                </c:pt>
                <c:pt idx="1">
                  <c:v>1115</c:v>
                </c:pt>
                <c:pt idx="2">
                  <c:v>399</c:v>
                </c:pt>
                <c:pt idx="3">
                  <c:v>1736</c:v>
                </c:pt>
                <c:pt idx="4">
                  <c:v>2135</c:v>
                </c:pt>
                <c:pt idx="5">
                  <c:v>2160</c:v>
                </c:pt>
                <c:pt idx="6">
                  <c:v>2160</c:v>
                </c:pt>
                <c:pt idx="7">
                  <c:v>353</c:v>
                </c:pt>
                <c:pt idx="8">
                  <c:v>3376</c:v>
                </c:pt>
                <c:pt idx="9">
                  <c:v>3729</c:v>
                </c:pt>
                <c:pt idx="10">
                  <c:v>298</c:v>
                </c:pt>
                <c:pt idx="11">
                  <c:v>342</c:v>
                </c:pt>
                <c:pt idx="12">
                  <c:v>344</c:v>
                </c:pt>
                <c:pt idx="13">
                  <c:v>3851</c:v>
                </c:pt>
                <c:pt idx="14">
                  <c:v>4835</c:v>
                </c:pt>
                <c:pt idx="15">
                  <c:v>1</c:v>
                </c:pt>
                <c:pt idx="16">
                  <c:v>53</c:v>
                </c:pt>
                <c:pt idx="17">
                  <c:v>66</c:v>
                </c:pt>
                <c:pt idx="18">
                  <c:v>80</c:v>
                </c:pt>
                <c:pt idx="19">
                  <c:v>106</c:v>
                </c:pt>
                <c:pt idx="20">
                  <c:v>106</c:v>
                </c:pt>
                <c:pt idx="21">
                  <c:v>265</c:v>
                </c:pt>
                <c:pt idx="22">
                  <c:v>357</c:v>
                </c:pt>
                <c:pt idx="23">
                  <c:v>381</c:v>
                </c:pt>
                <c:pt idx="24">
                  <c:v>511</c:v>
                </c:pt>
                <c:pt idx="25">
                  <c:v>761</c:v>
                </c:pt>
                <c:pt idx="26">
                  <c:v>12018</c:v>
                </c:pt>
                <c:pt idx="27">
                  <c:v>14705</c:v>
                </c:pt>
                <c:pt idx="28">
                  <c:v>310</c:v>
                </c:pt>
                <c:pt idx="29">
                  <c:v>311</c:v>
                </c:pt>
                <c:pt idx="30">
                  <c:v>923</c:v>
                </c:pt>
                <c:pt idx="31">
                  <c:v>1078</c:v>
                </c:pt>
                <c:pt idx="32">
                  <c:v>1528</c:v>
                </c:pt>
                <c:pt idx="33">
                  <c:v>2847</c:v>
                </c:pt>
                <c:pt idx="34">
                  <c:v>13570</c:v>
                </c:pt>
                <c:pt idx="35">
                  <c:v>20567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7E8-41D0-965A-2F358C30C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873360"/>
        <c:axId val="134870224"/>
      </c:barChart>
      <c:catAx>
        <c:axId val="134873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870224"/>
        <c:crosses val="autoZero"/>
        <c:auto val="1"/>
        <c:lblAlgn val="ctr"/>
        <c:lblOffset val="100"/>
        <c:noMultiLvlLbl val="0"/>
      </c:catAx>
      <c:valAx>
        <c:axId val="134870224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873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2.27'!$B$5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2.27'!$A$6:$A$18</c:f>
              <c:strCache>
                <c:ptCount val="13"/>
                <c:pt idx="0">
                  <c:v>Azul</c:v>
                </c:pt>
                <c:pt idx="1">
                  <c:v>Gol</c:v>
                </c:pt>
                <c:pt idx="2">
                  <c:v>Latam</c:v>
                </c:pt>
                <c:pt idx="3">
                  <c:v>Avianca</c:v>
                </c:pt>
                <c:pt idx="4">
                  <c:v>Passaredo</c:v>
                </c:pt>
                <c:pt idx="5">
                  <c:v>Sideral</c:v>
                </c:pt>
                <c:pt idx="6">
                  <c:v>MAP</c:v>
                </c:pt>
                <c:pt idx="7">
                  <c:v>Total Linhas Aéreas</c:v>
                </c:pt>
                <c:pt idx="8">
                  <c:v>Two</c:v>
                </c:pt>
                <c:pt idx="9">
                  <c:v>Absa</c:v>
                </c:pt>
                <c:pt idx="10">
                  <c:v>Modern</c:v>
                </c:pt>
                <c:pt idx="11">
                  <c:v>Abaeté</c:v>
                </c:pt>
                <c:pt idx="12">
                  <c:v>Rio Linhas Aéreas</c:v>
                </c:pt>
              </c:strCache>
            </c:strRef>
          </c:cat>
          <c:val>
            <c:numRef>
              <c:f>'Fig 2.27'!$B$6:$B$18</c:f>
              <c:numCache>
                <c:formatCode>_(* #,##0_);_(* \(#,##0\);_(* "-"??_);_(@_)</c:formatCode>
                <c:ptCount val="13"/>
                <c:pt idx="0">
                  <c:v>102</c:v>
                </c:pt>
                <c:pt idx="1">
                  <c:v>57</c:v>
                </c:pt>
                <c:pt idx="2">
                  <c:v>47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20</c:v>
                </c:pt>
                <c:pt idx="7">
                  <c:v>17</c:v>
                </c:pt>
                <c:pt idx="8">
                  <c:v>0</c:v>
                </c:pt>
                <c:pt idx="9">
                  <c:v>15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C-4A4D-BFBA-CFE401BE096F}"/>
            </c:ext>
          </c:extLst>
        </c:ser>
        <c:ser>
          <c:idx val="0"/>
          <c:order val="1"/>
          <c:tx>
            <c:strRef>
              <c:f>'Fig 2.27'!$C$5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2.27'!$A$6:$A$18</c:f>
              <c:strCache>
                <c:ptCount val="13"/>
                <c:pt idx="0">
                  <c:v>Azul</c:v>
                </c:pt>
                <c:pt idx="1">
                  <c:v>Gol</c:v>
                </c:pt>
                <c:pt idx="2">
                  <c:v>Latam</c:v>
                </c:pt>
                <c:pt idx="3">
                  <c:v>Avianca</c:v>
                </c:pt>
                <c:pt idx="4">
                  <c:v>Passaredo</c:v>
                </c:pt>
                <c:pt idx="5">
                  <c:v>Sideral</c:v>
                </c:pt>
                <c:pt idx="6">
                  <c:v>MAP</c:v>
                </c:pt>
                <c:pt idx="7">
                  <c:v>Total Linhas Aéreas</c:v>
                </c:pt>
                <c:pt idx="8">
                  <c:v>Two</c:v>
                </c:pt>
                <c:pt idx="9">
                  <c:v>Absa</c:v>
                </c:pt>
                <c:pt idx="10">
                  <c:v>Modern</c:v>
                </c:pt>
                <c:pt idx="11">
                  <c:v>Abaeté</c:v>
                </c:pt>
                <c:pt idx="12">
                  <c:v>Rio Linhas Aéreas</c:v>
                </c:pt>
              </c:strCache>
            </c:strRef>
          </c:cat>
          <c:val>
            <c:numRef>
              <c:f>'Fig 2.27'!$C$6:$C$18</c:f>
              <c:numCache>
                <c:formatCode>_(* #,##0_);_(* \(#,##0\);_(* "-"??_);_(@_)</c:formatCode>
                <c:ptCount val="13"/>
                <c:pt idx="0">
                  <c:v>105</c:v>
                </c:pt>
                <c:pt idx="1">
                  <c:v>57</c:v>
                </c:pt>
                <c:pt idx="2">
                  <c:v>48</c:v>
                </c:pt>
                <c:pt idx="3">
                  <c:v>29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26</c:v>
                </c:pt>
                <c:pt idx="9">
                  <c:v>15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C-4A4D-BFBA-CFE401BE0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134874144"/>
        <c:axId val="134876496"/>
      </c:barChart>
      <c:catAx>
        <c:axId val="1348741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4876496"/>
        <c:crosses val="autoZero"/>
        <c:auto val="1"/>
        <c:lblAlgn val="ctr"/>
        <c:lblOffset val="100"/>
        <c:noMultiLvlLbl val="0"/>
      </c:catAx>
      <c:valAx>
        <c:axId val="134876496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1348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9324944588359972E-2"/>
          <c:y val="5.0278240740740728E-2"/>
          <c:w val="0.91975274059777501"/>
          <c:h val="0.772937268518536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2.28'!$A$6:$A$15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2.28'!$B$6:$B$15</c:f>
              <c:numCache>
                <c:formatCode>_(* #,##0_);_(* \(#,##0\);_(* "-"??_);_(@_)</c:formatCode>
                <c:ptCount val="10"/>
                <c:pt idx="0">
                  <c:v>101124</c:v>
                </c:pt>
                <c:pt idx="1">
                  <c:v>117472</c:v>
                </c:pt>
                <c:pt idx="2">
                  <c:v>135426</c:v>
                </c:pt>
                <c:pt idx="3">
                  <c:v>142514</c:v>
                </c:pt>
                <c:pt idx="4">
                  <c:v>144845</c:v>
                </c:pt>
                <c:pt idx="5">
                  <c:v>149318</c:v>
                </c:pt>
                <c:pt idx="6">
                  <c:v>147203</c:v>
                </c:pt>
                <c:pt idx="7">
                  <c:v>135863</c:v>
                </c:pt>
                <c:pt idx="8">
                  <c:v>135416</c:v>
                </c:pt>
                <c:pt idx="9">
                  <c:v>151197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882-A714-44599D9450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876104"/>
        <c:axId val="134872576"/>
      </c:barChart>
      <c:catAx>
        <c:axId val="1348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872576"/>
        <c:crosses val="autoZero"/>
        <c:auto val="1"/>
        <c:lblAlgn val="ctr"/>
        <c:lblOffset val="100"/>
        <c:noMultiLvlLbl val="0"/>
      </c:catAx>
      <c:valAx>
        <c:axId val="13487257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Milhares de Voos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134876104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Milhares de Voos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7809423450322134E-2"/>
          <c:y val="4.1666666666666664E-2"/>
          <c:w val="0.90905963892060004"/>
          <c:h val="0.816774934383213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2.29'!$A$6:$A$15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2.29'!$B$6:$B$15</c:f>
              <c:numCache>
                <c:formatCode>0.0%</c:formatCode>
                <c:ptCount val="10"/>
                <c:pt idx="0">
                  <c:v>-5.2089875422990033E-2</c:v>
                </c:pt>
                <c:pt idx="1">
                  <c:v>0.16166290890391993</c:v>
                </c:pt>
                <c:pt idx="2">
                  <c:v>0.15283642059384364</c:v>
                </c:pt>
                <c:pt idx="3">
                  <c:v>5.2338546512486525E-2</c:v>
                </c:pt>
                <c:pt idx="4">
                  <c:v>1.6356287803303535E-2</c:v>
                </c:pt>
                <c:pt idx="5">
                  <c:v>3.0881286892885499E-2</c:v>
                </c:pt>
                <c:pt idx="6">
                  <c:v>-1.416440080901164E-2</c:v>
                </c:pt>
                <c:pt idx="7">
                  <c:v>-7.7036473441438019E-2</c:v>
                </c:pt>
                <c:pt idx="8">
                  <c:v>-3.29007897661615E-3</c:v>
                </c:pt>
                <c:pt idx="9">
                  <c:v>0.11653718910616176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C5-4339-9829-0B6E89366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874536"/>
        <c:axId val="134874928"/>
      </c:barChart>
      <c:catAx>
        <c:axId val="13487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4874928"/>
        <c:crosses val="autoZero"/>
        <c:auto val="1"/>
        <c:lblAlgn val="ctr"/>
        <c:lblOffset val="100"/>
        <c:noMultiLvlLbl val="0"/>
      </c:catAx>
      <c:valAx>
        <c:axId val="13487492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48745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2.30'!$A$6:$A$17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2.30'!$B$6:$B$17</c:f>
              <c:numCache>
                <c:formatCode>0.0%</c:formatCode>
                <c:ptCount val="12"/>
                <c:pt idx="0">
                  <c:v>0.16624663978494625</c:v>
                </c:pt>
                <c:pt idx="1">
                  <c:v>0.15907386576677915</c:v>
                </c:pt>
                <c:pt idx="2">
                  <c:v>0.12931112111661414</c:v>
                </c:pt>
                <c:pt idx="3">
                  <c:v>0.15744640122511486</c:v>
                </c:pt>
                <c:pt idx="4">
                  <c:v>0.1541438550122711</c:v>
                </c:pt>
                <c:pt idx="5">
                  <c:v>0.12631881833876846</c:v>
                </c:pt>
                <c:pt idx="6">
                  <c:v>9.6435886931585418E-2</c:v>
                </c:pt>
                <c:pt idx="7">
                  <c:v>0.10817599168543218</c:v>
                </c:pt>
                <c:pt idx="8">
                  <c:v>0.10684186678749434</c:v>
                </c:pt>
                <c:pt idx="9">
                  <c:v>6.0233665080051922E-2</c:v>
                </c:pt>
                <c:pt idx="10">
                  <c:v>5.6446664913664651E-2</c:v>
                </c:pt>
                <c:pt idx="11">
                  <c:v>9.0168516891622072E-2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DC2-417A-A5F3-82972FD46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870616"/>
        <c:axId val="134869440"/>
      </c:barChart>
      <c:catAx>
        <c:axId val="13487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4869440"/>
        <c:crosses val="autoZero"/>
        <c:auto val="1"/>
        <c:lblAlgn val="ctr"/>
        <c:lblOffset val="100"/>
        <c:noMultiLvlLbl val="0"/>
      </c:catAx>
      <c:valAx>
        <c:axId val="13486944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48706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2.31'!$B$5</c:f>
              <c:strCache>
                <c:ptCount val="1"/>
                <c:pt idx="0">
                  <c:v>Empresas Brasileiras</c:v>
                </c:pt>
              </c:strCache>
            </c:strRef>
          </c:tx>
          <c:spPr>
            <a:solidFill>
              <a:srgbClr val="95B3D7"/>
            </a:solidFill>
          </c:spPr>
          <c:invertIfNegative val="1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2.31'!$A$6:$A$15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2.31'!$B$6:$B$15</c:f>
              <c:numCache>
                <c:formatCode>_(* #,##0_);_(* \(#,##0\);_(* "-"??_);_(@_)</c:formatCode>
                <c:ptCount val="10"/>
                <c:pt idx="0">
                  <c:v>37861</c:v>
                </c:pt>
                <c:pt idx="1">
                  <c:v>39398</c:v>
                </c:pt>
                <c:pt idx="2">
                  <c:v>41749</c:v>
                </c:pt>
                <c:pt idx="3">
                  <c:v>40971</c:v>
                </c:pt>
                <c:pt idx="4">
                  <c:v>42045</c:v>
                </c:pt>
                <c:pt idx="5">
                  <c:v>42347</c:v>
                </c:pt>
                <c:pt idx="6">
                  <c:v>48241</c:v>
                </c:pt>
                <c:pt idx="7">
                  <c:v>48066</c:v>
                </c:pt>
                <c:pt idx="8">
                  <c:v>51110</c:v>
                </c:pt>
                <c:pt idx="9">
                  <c:v>57508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94-4EEF-A303-5F44EE4E41C3}"/>
            </c:ext>
          </c:extLst>
        </c:ser>
        <c:ser>
          <c:idx val="1"/>
          <c:order val="1"/>
          <c:tx>
            <c:strRef>
              <c:f>'Fig 2.31'!$C$5</c:f>
              <c:strCache>
                <c:ptCount val="1"/>
                <c:pt idx="0">
                  <c:v>Empresas Estrangeiras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2.31'!$A$6:$A$15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2.31'!$C$6:$C$15</c:f>
              <c:numCache>
                <c:formatCode>_(* #,##0_);_(* \(#,##0\);_(* "-"??_);_(@_)</c:formatCode>
                <c:ptCount val="10"/>
                <c:pt idx="0">
                  <c:v>63263</c:v>
                </c:pt>
                <c:pt idx="1">
                  <c:v>78074</c:v>
                </c:pt>
                <c:pt idx="2">
                  <c:v>93677</c:v>
                </c:pt>
                <c:pt idx="3">
                  <c:v>101543</c:v>
                </c:pt>
                <c:pt idx="4">
                  <c:v>102800</c:v>
                </c:pt>
                <c:pt idx="5">
                  <c:v>106971</c:v>
                </c:pt>
                <c:pt idx="6">
                  <c:v>98962</c:v>
                </c:pt>
                <c:pt idx="7">
                  <c:v>87797</c:v>
                </c:pt>
                <c:pt idx="8">
                  <c:v>84306</c:v>
                </c:pt>
                <c:pt idx="9">
                  <c:v>93689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4-4EEF-A303-5F44EE4E41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134871008"/>
        <c:axId val="134871400"/>
      </c:barChart>
      <c:catAx>
        <c:axId val="13487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71400"/>
        <c:crosses val="autoZero"/>
        <c:auto val="1"/>
        <c:lblAlgn val="ctr"/>
        <c:lblOffset val="100"/>
        <c:noMultiLvlLbl val="0"/>
      </c:catAx>
      <c:valAx>
        <c:axId val="1348714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Milhares de Voos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4871008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Milhares de Voos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2.32'!$B$5</c:f>
              <c:strCache>
                <c:ptCount val="1"/>
                <c:pt idx="0">
                  <c:v>Empresas Brasileiras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2.32'!$A$6:$A$15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2.32'!$B$6:$B$15</c:f>
              <c:numCache>
                <c:formatCode>0.0%</c:formatCode>
                <c:ptCount val="10"/>
                <c:pt idx="0">
                  <c:v>0.37440172461532378</c:v>
                </c:pt>
                <c:pt idx="1">
                  <c:v>0.33538204848815034</c:v>
                </c:pt>
                <c:pt idx="2">
                  <c:v>0.30827906015093115</c:v>
                </c:pt>
                <c:pt idx="3">
                  <c:v>0.28748754508329005</c:v>
                </c:pt>
                <c:pt idx="4">
                  <c:v>0.29027581207497671</c:v>
                </c:pt>
                <c:pt idx="5">
                  <c:v>0.28360278064265526</c:v>
                </c:pt>
                <c:pt idx="6">
                  <c:v>0.32771750575735548</c:v>
                </c:pt>
                <c:pt idx="7">
                  <c:v>0.35378285478754334</c:v>
                </c:pt>
                <c:pt idx="8">
                  <c:v>0.37742955042240206</c:v>
                </c:pt>
                <c:pt idx="9">
                  <c:v>0.38035146199990738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AC4-B24D-9E4AB09D0340}"/>
            </c:ext>
          </c:extLst>
        </c:ser>
        <c:ser>
          <c:idx val="1"/>
          <c:order val="1"/>
          <c:tx>
            <c:strRef>
              <c:f>'Fig 2.32'!$C$5</c:f>
              <c:strCache>
                <c:ptCount val="1"/>
                <c:pt idx="0">
                  <c:v>Empresas Estrangeiras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2.32'!$A$6:$A$15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2.32'!$C$6:$C$15</c:f>
              <c:numCache>
                <c:formatCode>0.0%</c:formatCode>
                <c:ptCount val="10"/>
                <c:pt idx="0">
                  <c:v>0.62559827538467627</c:v>
                </c:pt>
                <c:pt idx="1">
                  <c:v>0.66461795151184966</c:v>
                </c:pt>
                <c:pt idx="2">
                  <c:v>0.69172093984906891</c:v>
                </c:pt>
                <c:pt idx="3">
                  <c:v>0.71251245491670989</c:v>
                </c:pt>
                <c:pt idx="4">
                  <c:v>0.70972418792502334</c:v>
                </c:pt>
                <c:pt idx="5">
                  <c:v>0.71639721935734468</c:v>
                </c:pt>
                <c:pt idx="6">
                  <c:v>0.67228249424264452</c:v>
                </c:pt>
                <c:pt idx="7">
                  <c:v>0.64621714521245666</c:v>
                </c:pt>
                <c:pt idx="8">
                  <c:v>0.62257044957759788</c:v>
                </c:pt>
                <c:pt idx="9">
                  <c:v>0.61964853800009256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AC4-B24D-9E4AB09D0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135335080"/>
        <c:axId val="135332336"/>
      </c:barChart>
      <c:catAx>
        <c:axId val="13533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32336"/>
        <c:crosses val="autoZero"/>
        <c:auto val="1"/>
        <c:lblAlgn val="ctr"/>
        <c:lblOffset val="100"/>
        <c:noMultiLvlLbl val="0"/>
      </c:catAx>
      <c:valAx>
        <c:axId val="1353323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35335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9AB9-463D-8798-197222AD6FF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2.33'!$A$6:$A$7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2.33'!$B$6:$B$7</c:f>
              <c:numCache>
                <c:formatCode>0.0%</c:formatCode>
                <c:ptCount val="2"/>
                <c:pt idx="0">
                  <c:v>0.51892448693906656</c:v>
                </c:pt>
                <c:pt idx="1">
                  <c:v>0.48094462798160059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463D-8798-197222AD6F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35472"/>
        <c:axId val="135339000"/>
      </c:barChart>
      <c:catAx>
        <c:axId val="13533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39000"/>
        <c:crosses val="autoZero"/>
        <c:auto val="1"/>
        <c:lblAlgn val="ctr"/>
        <c:lblOffset val="100"/>
        <c:noMultiLvlLbl val="0"/>
      </c:catAx>
      <c:valAx>
        <c:axId val="13533900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335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637-4D92-8727-FE8537527413}"/>
              </c:ext>
            </c:extLst>
          </c:dPt>
          <c:dPt>
            <c:idx val="1"/>
            <c:invertIfNegative val="1"/>
            <c:bubble3D val="0"/>
            <c:spPr>
              <a:solidFill>
                <a:srgbClr val="1F497D"/>
              </a:solidFill>
            </c:spPr>
            <c:extLst>
              <c:ext xmlns:c16="http://schemas.microsoft.com/office/drawing/2014/chart" uri="{C3380CC4-5D6E-409C-BE32-E72D297353CC}">
                <c16:uniqueId val="{00000002-3637-4D92-8727-FE853752741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2.34'!$A$6:$A$7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2.34'!$B$6:$B$7</c:f>
              <c:numCache>
                <c:formatCode>0.0%</c:formatCode>
                <c:ptCount val="2"/>
                <c:pt idx="0">
                  <c:v>0.12518098219526511</c:v>
                </c:pt>
                <c:pt idx="1">
                  <c:v>0.1112969420919033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637-4D92-8727-FE8537527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35864"/>
        <c:axId val="135332728"/>
      </c:barChart>
      <c:catAx>
        <c:axId val="13533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5332728"/>
        <c:crosses val="autoZero"/>
        <c:auto val="1"/>
        <c:lblAlgn val="ctr"/>
        <c:lblOffset val="100"/>
        <c:noMultiLvlLbl val="0"/>
      </c:catAx>
      <c:valAx>
        <c:axId val="13533272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335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1.4'!$B$5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1.4'!$A$6:$A$20</c15:sqref>
                  </c15:fullRef>
                </c:ext>
              </c:extLst>
              <c:f>'Fig 1.4'!$A$7:$A$20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1.4'!$B$6:$B$20</c15:sqref>
                  </c15:fullRef>
                </c:ext>
              </c:extLst>
              <c:f>'Fig 1.4'!$B$7:$B$20</c:f>
              <c:numCache>
                <c:formatCode>0.0%</c:formatCode>
                <c:ptCount val="14"/>
                <c:pt idx="0">
                  <c:v>0.14117992368652774</c:v>
                </c:pt>
                <c:pt idx="1">
                  <c:v>0.12727272727272726</c:v>
                </c:pt>
                <c:pt idx="2">
                  <c:v>0.10529446757882213</c:v>
                </c:pt>
                <c:pt idx="3">
                  <c:v>0.27715355805243447</c:v>
                </c:pt>
                <c:pt idx="4">
                  <c:v>0.10103228640456842</c:v>
                </c:pt>
                <c:pt idx="5">
                  <c:v>0.12258064516129032</c:v>
                </c:pt>
                <c:pt idx="6">
                  <c:v>0.16577540106951871</c:v>
                </c:pt>
                <c:pt idx="7">
                  <c:v>0.19090909090909092</c:v>
                </c:pt>
                <c:pt idx="8">
                  <c:v>0.25225225225225223</c:v>
                </c:pt>
                <c:pt idx="9">
                  <c:v>0</c:v>
                </c:pt>
                <c:pt idx="10">
                  <c:v>0.2857142857142857</c:v>
                </c:pt>
                <c:pt idx="11">
                  <c:v>8.033494701033625E-2</c:v>
                </c:pt>
                <c:pt idx="12">
                  <c:v>8.8235294117647065E-2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C02-A290-A3DDD63B78A8}"/>
            </c:ext>
          </c:extLst>
        </c:ser>
        <c:ser>
          <c:idx val="1"/>
          <c:order val="1"/>
          <c:tx>
            <c:strRef>
              <c:f>'Fig 1.4'!$C$5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1.4'!$A$6:$A$20</c15:sqref>
                  </c15:fullRef>
                </c:ext>
              </c:extLst>
              <c:f>'Fig 1.4'!$A$7:$A$20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1.4'!$C$6:$C$20</c15:sqref>
                  </c15:fullRef>
                </c:ext>
              </c:extLst>
              <c:f>'Fig 1.4'!$C$7:$C$20</c:f>
              <c:numCache>
                <c:formatCode>0.0%</c:formatCode>
                <c:ptCount val="14"/>
                <c:pt idx="0">
                  <c:v>0.14628040057224606</c:v>
                </c:pt>
                <c:pt idx="1">
                  <c:v>0</c:v>
                </c:pt>
                <c:pt idx="2">
                  <c:v>0.11452261719070683</c:v>
                </c:pt>
                <c:pt idx="3">
                  <c:v>0.35023041474654376</c:v>
                </c:pt>
                <c:pt idx="4">
                  <c:v>0.11524094135226</c:v>
                </c:pt>
                <c:pt idx="5">
                  <c:v>0.1206896551724138</c:v>
                </c:pt>
                <c:pt idx="6">
                  <c:v>0.11583924349881797</c:v>
                </c:pt>
                <c:pt idx="7">
                  <c:v>0</c:v>
                </c:pt>
                <c:pt idx="8">
                  <c:v>0.23214285714285715</c:v>
                </c:pt>
                <c:pt idx="9">
                  <c:v>0</c:v>
                </c:pt>
                <c:pt idx="10">
                  <c:v>0</c:v>
                </c:pt>
                <c:pt idx="11">
                  <c:v>8.7493707957717479E-2</c:v>
                </c:pt>
                <c:pt idx="12">
                  <c:v>8.5561497326203204E-2</c:v>
                </c:pt>
                <c:pt idx="13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C02-A290-A3DDD63B78A8}"/>
            </c:ext>
          </c:extLst>
        </c:ser>
        <c:ser>
          <c:idx val="2"/>
          <c:order val="2"/>
          <c:tx>
            <c:strRef>
              <c:f>'Fig 1.4'!$D$5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1.4'!$A$6:$A$20</c15:sqref>
                  </c15:fullRef>
                </c:ext>
              </c:extLst>
              <c:f>'Fig 1.4'!$A$7:$A$20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1.4'!$D$6:$D$20</c15:sqref>
                  </c15:fullRef>
                </c:ext>
              </c:extLst>
              <c:f>'Fig 1.4'!$D$7:$D$20</c:f>
              <c:numCache>
                <c:formatCode>0.0%</c:formatCode>
                <c:ptCount val="14"/>
                <c:pt idx="0">
                  <c:v>0.14285714285714285</c:v>
                </c:pt>
                <c:pt idx="1">
                  <c:v>0</c:v>
                </c:pt>
                <c:pt idx="2">
                  <c:v>0.11633602743081067</c:v>
                </c:pt>
                <c:pt idx="3">
                  <c:v>0.36893203883495146</c:v>
                </c:pt>
                <c:pt idx="4">
                  <c:v>0</c:v>
                </c:pt>
                <c:pt idx="5">
                  <c:v>9.405940594059406E-2</c:v>
                </c:pt>
                <c:pt idx="6">
                  <c:v>0.1302170283806344</c:v>
                </c:pt>
                <c:pt idx="7">
                  <c:v>0</c:v>
                </c:pt>
                <c:pt idx="8">
                  <c:v>0.19798657718120805</c:v>
                </c:pt>
                <c:pt idx="9">
                  <c:v>0</c:v>
                </c:pt>
                <c:pt idx="10">
                  <c:v>0</c:v>
                </c:pt>
                <c:pt idx="11">
                  <c:v>0.10703282694146393</c:v>
                </c:pt>
                <c:pt idx="12">
                  <c:v>8.6956521739130432E-2</c:v>
                </c:pt>
                <c:pt idx="1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7-4C02-A290-A3DDD63B7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32207032"/>
        <c:axId val="132207424"/>
      </c:barChart>
      <c:catAx>
        <c:axId val="13220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2207424"/>
        <c:crosses val="autoZero"/>
        <c:auto val="1"/>
        <c:lblAlgn val="ctr"/>
        <c:lblOffset val="100"/>
        <c:noMultiLvlLbl val="0"/>
      </c:catAx>
      <c:valAx>
        <c:axId val="1322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2207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92705160984849322"/>
          <c:h val="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774-48A1-8C5D-BC302F11359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774-48A1-8C5D-BC302F113596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1774-48A1-8C5D-BC302F113596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774-48A1-8C5D-BC302F11359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1774-48A1-8C5D-BC302F113596}"/>
              </c:ext>
            </c:extLst>
          </c:dPt>
          <c:dPt>
            <c:idx val="5"/>
            <c:bubble3D val="0"/>
            <c:spPr>
              <a:solidFill>
                <a:srgbClr val="8B4935"/>
              </a:solidFill>
            </c:spPr>
            <c:extLst>
              <c:ext xmlns:c16="http://schemas.microsoft.com/office/drawing/2014/chart" uri="{C3380CC4-5D6E-409C-BE32-E72D297353CC}">
                <c16:uniqueId val="{0000000B-1774-48A1-8C5D-BC302F113596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1774-48A1-8C5D-BC302F113596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1774-48A1-8C5D-BC302F113596}"/>
              </c:ext>
            </c:extLst>
          </c:dPt>
          <c:dPt>
            <c:idx val="9"/>
            <c:bubble3D val="0"/>
            <c:spPr>
              <a:solidFill>
                <a:schemeClr val="bg2">
                  <a:lumMod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1774-48A1-8C5D-BC302F113596}"/>
              </c:ext>
            </c:extLst>
          </c:dPt>
          <c:dPt>
            <c:idx val="1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1774-48A1-8C5D-BC302F113596}"/>
              </c:ext>
            </c:extLst>
          </c:dPt>
          <c:dPt>
            <c:idx val="1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F-13AE-4A17-B550-D6E793D04D5A}"/>
              </c:ext>
            </c:extLst>
          </c:dPt>
          <c:dLbls>
            <c:dLbl>
              <c:idx val="2"/>
              <c:layout>
                <c:manualLayout>
                  <c:x val="-7.7139625863896413E-3"/>
                  <c:y val="-0.112511139454070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74-48A1-8C5D-BC302F113596}"/>
                </c:ext>
              </c:extLst>
            </c:dLbl>
            <c:dLbl>
              <c:idx val="3"/>
              <c:layout>
                <c:manualLayout>
                  <c:x val="-3.5349808496549937E-2"/>
                  <c:y val="-0.119668570362007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74-48A1-8C5D-BC302F11359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2.35'!$A$6:$A$17</c:f>
              <c:strCache>
                <c:ptCount val="12"/>
                <c:pt idx="0">
                  <c:v> Latam </c:v>
                </c:pt>
                <c:pt idx="1">
                  <c:v> Gol </c:v>
                </c:pt>
                <c:pt idx="2">
                  <c:v> Azul </c:v>
                </c:pt>
                <c:pt idx="3">
                  <c:v> Absa </c:v>
                </c:pt>
                <c:pt idx="4">
                  <c:v> Avianca </c:v>
                </c:pt>
                <c:pt idx="5">
                  <c:v> Demais Brasileiras </c:v>
                </c:pt>
                <c:pt idx="6">
                  <c:v> Copa </c:v>
                </c:pt>
                <c:pt idx="7">
                  <c:v> Aerolineas Argentinas </c:v>
                </c:pt>
                <c:pt idx="8">
                  <c:v> TAP </c:v>
                </c:pt>
                <c:pt idx="9">
                  <c:v> American Airlines </c:v>
                </c:pt>
                <c:pt idx="10">
                  <c:v> Lan Chile </c:v>
                </c:pt>
                <c:pt idx="11">
                  <c:v> Demais Estrangeiras </c:v>
                </c:pt>
              </c:strCache>
            </c:strRef>
          </c:cat>
          <c:val>
            <c:numRef>
              <c:f>'Fig 2.35'!$B$6:$B$17</c:f>
              <c:numCache>
                <c:formatCode>0%</c:formatCode>
                <c:ptCount val="12"/>
                <c:pt idx="0">
                  <c:v>0.1895143422157847</c:v>
                </c:pt>
                <c:pt idx="1">
                  <c:v>9.3487304642287883E-2</c:v>
                </c:pt>
                <c:pt idx="2">
                  <c:v>4.8539322870162771E-2</c:v>
                </c:pt>
                <c:pt idx="3">
                  <c:v>1.9127363638167423E-2</c:v>
                </c:pt>
                <c:pt idx="4">
                  <c:v>2.9544236988829145E-2</c:v>
                </c:pt>
                <c:pt idx="5">
                  <c:v>1.388916446754896E-4</c:v>
                </c:pt>
                <c:pt idx="6">
                  <c:v>5.6145293888106247E-2</c:v>
                </c:pt>
                <c:pt idx="7">
                  <c:v>5.2527497238701829E-2</c:v>
                </c:pt>
                <c:pt idx="8">
                  <c:v>5.1475889071873122E-2</c:v>
                </c:pt>
                <c:pt idx="9">
                  <c:v>4.8089578496927847E-2</c:v>
                </c:pt>
                <c:pt idx="10">
                  <c:v>2.6885454076469771E-2</c:v>
                </c:pt>
                <c:pt idx="11">
                  <c:v>0.38452482522801379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74-48A1-8C5D-BC302F1135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6928920769738918"/>
          <c:y val="3.7928857544910079E-2"/>
          <c:w val="0.2126692968631001"/>
          <c:h val="0.91019815876489762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17-4EB6-810A-BB45D2DBF5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8D17-4EB6-810A-BB45D2DBF5E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D17-4EB6-810A-BB45D2DBF5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8D17-4EB6-810A-BB45D2DBF5E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8D17-4EB6-810A-BB45D2DBF5E4}"/>
              </c:ext>
            </c:extLst>
          </c:dPt>
          <c:dPt>
            <c:idx val="5"/>
            <c:invertIfNegative val="0"/>
            <c:bubble3D val="0"/>
            <c:spPr>
              <a:solidFill>
                <a:srgbClr val="8B4935"/>
              </a:solidFill>
            </c:spPr>
            <c:extLst>
              <c:ext xmlns:c16="http://schemas.microsoft.com/office/drawing/2014/chart" uri="{C3380CC4-5D6E-409C-BE32-E72D297353CC}">
                <c16:uniqueId val="{0000000A-8D17-4EB6-810A-BB45D2DBF5E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C-8D17-4EB6-810A-BB45D2DBF5E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8D17-4EB6-810A-BB45D2DBF5E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8D17-4EB6-810A-BB45D2DBF5E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8D17-4EB6-810A-BB45D2DBF5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8D17-4EB6-810A-BB45D2DBF5E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2.36'!$A$6:$A$16</c:f>
              <c:strCache>
                <c:ptCount val="11"/>
                <c:pt idx="0">
                  <c:v> Latam </c:v>
                </c:pt>
                <c:pt idx="1">
                  <c:v> Gol </c:v>
                </c:pt>
                <c:pt idx="2">
                  <c:v> Azul </c:v>
                </c:pt>
                <c:pt idx="3">
                  <c:v> Absa </c:v>
                </c:pt>
                <c:pt idx="4">
                  <c:v> Avianca </c:v>
                </c:pt>
                <c:pt idx="5">
                  <c:v> Demais Brasileiras </c:v>
                </c:pt>
                <c:pt idx="6">
                  <c:v> Copa </c:v>
                </c:pt>
                <c:pt idx="7">
                  <c:v> Aerolineas Argentinas </c:v>
                </c:pt>
                <c:pt idx="8">
                  <c:v> TAP </c:v>
                </c:pt>
                <c:pt idx="9">
                  <c:v> American Airlines </c:v>
                </c:pt>
                <c:pt idx="10">
                  <c:v> Lan Chile </c:v>
                </c:pt>
              </c:strCache>
            </c:strRef>
          </c:cat>
          <c:val>
            <c:numRef>
              <c:f>'Fig 2.36'!$B$6:$B$16</c:f>
              <c:numCache>
                <c:formatCode>0.0%</c:formatCode>
                <c:ptCount val="11"/>
                <c:pt idx="0">
                  <c:v>3.852705592403316E-2</c:v>
                </c:pt>
                <c:pt idx="1">
                  <c:v>-2.1178962230851139E-3</c:v>
                </c:pt>
                <c:pt idx="2">
                  <c:v>0.50512715340442993</c:v>
                </c:pt>
                <c:pt idx="3">
                  <c:v>7.3895284069810607E-2</c:v>
                </c:pt>
                <c:pt idx="4">
                  <c:v>1.5025210084033613</c:v>
                </c:pt>
                <c:pt idx="5">
                  <c:v>0</c:v>
                </c:pt>
                <c:pt idx="6">
                  <c:v>1.1679180073888684E-2</c:v>
                </c:pt>
                <c:pt idx="7">
                  <c:v>0.1688005886681383</c:v>
                </c:pt>
                <c:pt idx="8">
                  <c:v>0.12944420258307932</c:v>
                </c:pt>
                <c:pt idx="9">
                  <c:v>-3.554848123093246E-2</c:v>
                </c:pt>
                <c:pt idx="10">
                  <c:v>0.66735028712059075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17-4EB6-810A-BB45D2DBF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34688"/>
        <c:axId val="135337040"/>
      </c:barChart>
      <c:catAx>
        <c:axId val="1353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pt-BR"/>
          </a:p>
        </c:txPr>
        <c:crossAx val="135337040"/>
        <c:crosses val="autoZero"/>
        <c:auto val="1"/>
        <c:lblAlgn val="ctr"/>
        <c:lblOffset val="100"/>
        <c:noMultiLvlLbl val="0"/>
      </c:catAx>
      <c:valAx>
        <c:axId val="1353370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135334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2.37'!$C$13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2.37'!$A$6:$A$11</c:f>
              <c:strCache>
                <c:ptCount val="6"/>
                <c:pt idx="0">
                  <c:v> América Do Sul </c:v>
                </c:pt>
                <c:pt idx="1">
                  <c:v> América Do Norte </c:v>
                </c:pt>
                <c:pt idx="2">
                  <c:v> Europa </c:v>
                </c:pt>
                <c:pt idx="3">
                  <c:v> América Central </c:v>
                </c:pt>
                <c:pt idx="4">
                  <c:v> África </c:v>
                </c:pt>
                <c:pt idx="5">
                  <c:v> Ásia </c:v>
                </c:pt>
              </c:strCache>
            </c:strRef>
          </c:cat>
          <c:val>
            <c:numRef>
              <c:f>'Fig 2.37'!$C$6:$C$11</c:f>
              <c:numCache>
                <c:formatCode>_(* #,##0_);_(* \(#,##0\);_(* "-"??_);_(@_)</c:formatCode>
                <c:ptCount val="6"/>
                <c:pt idx="0">
                  <c:v>68146</c:v>
                </c:pt>
                <c:pt idx="1">
                  <c:v>28943</c:v>
                </c:pt>
                <c:pt idx="2">
                  <c:v>27521</c:v>
                </c:pt>
                <c:pt idx="3">
                  <c:v>9433</c:v>
                </c:pt>
                <c:pt idx="4">
                  <c:v>3799</c:v>
                </c:pt>
                <c:pt idx="5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8-42D3-9F72-5622A1C56EAA}"/>
            </c:ext>
          </c:extLst>
        </c:ser>
        <c:ser>
          <c:idx val="0"/>
          <c:order val="1"/>
          <c:tx>
            <c:strRef>
              <c:f>'Fig 2.37'!$B$13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2.37'!$A$6:$A$11</c:f>
              <c:strCache>
                <c:ptCount val="6"/>
                <c:pt idx="0">
                  <c:v> América Do Sul </c:v>
                </c:pt>
                <c:pt idx="1">
                  <c:v> América Do Norte </c:v>
                </c:pt>
                <c:pt idx="2">
                  <c:v> Europa </c:v>
                </c:pt>
                <c:pt idx="3">
                  <c:v> América Central </c:v>
                </c:pt>
                <c:pt idx="4">
                  <c:v> África </c:v>
                </c:pt>
                <c:pt idx="5">
                  <c:v> Ásia </c:v>
                </c:pt>
              </c:strCache>
            </c:strRef>
          </c:cat>
          <c:val>
            <c:numRef>
              <c:f>'Fig 2.37'!$B$6:$B$11</c:f>
              <c:numCache>
                <c:formatCode>_(* #,##0_);_(* \(#,##0\);_(* "-"??_);_(@_)</c:formatCode>
                <c:ptCount val="6"/>
                <c:pt idx="0">
                  <c:v>60802</c:v>
                </c:pt>
                <c:pt idx="1">
                  <c:v>25644</c:v>
                </c:pt>
                <c:pt idx="2">
                  <c:v>23796</c:v>
                </c:pt>
                <c:pt idx="3">
                  <c:v>9127</c:v>
                </c:pt>
                <c:pt idx="4">
                  <c:v>3199</c:v>
                </c:pt>
                <c:pt idx="5">
                  <c:v>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8-42D3-9F72-5622A1C56E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135333120"/>
        <c:axId val="135338608"/>
      </c:barChart>
      <c:catAx>
        <c:axId val="1353331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5338608"/>
        <c:crosses val="autoZero"/>
        <c:auto val="1"/>
        <c:lblAlgn val="ctr"/>
        <c:lblOffset val="100"/>
        <c:noMultiLvlLbl val="0"/>
      </c:catAx>
      <c:valAx>
        <c:axId val="135338608"/>
        <c:scaling>
          <c:orientation val="minMax"/>
        </c:scaling>
        <c:delete val="0"/>
        <c:axPos val="t"/>
        <c:numFmt formatCode="#,##0;[Red]#,##0" sourceLinked="0"/>
        <c:majorTickMark val="out"/>
        <c:minorTickMark val="none"/>
        <c:tickLblPos val="nextTo"/>
        <c:crossAx val="135333120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Milhares de Voos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2.38'!$C$27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2.38'!$A$6:$A$25</c:f>
              <c:strCache>
                <c:ptCount val="20"/>
                <c:pt idx="0">
                  <c:v> Argentina </c:v>
                </c:pt>
                <c:pt idx="1">
                  <c:v> Estados Unidos </c:v>
                </c:pt>
                <c:pt idx="2">
                  <c:v> Chile </c:v>
                </c:pt>
                <c:pt idx="3">
                  <c:v> Portugal </c:v>
                </c:pt>
                <c:pt idx="4">
                  <c:v> Panamá </c:v>
                </c:pt>
                <c:pt idx="5">
                  <c:v> Uruguai </c:v>
                </c:pt>
                <c:pt idx="6">
                  <c:v> Peru </c:v>
                </c:pt>
                <c:pt idx="7">
                  <c:v> Colômbia </c:v>
                </c:pt>
                <c:pt idx="8">
                  <c:v> Espanha </c:v>
                </c:pt>
                <c:pt idx="9">
                  <c:v> Paraguai </c:v>
                </c:pt>
                <c:pt idx="10">
                  <c:v> França </c:v>
                </c:pt>
                <c:pt idx="11">
                  <c:v> Itália </c:v>
                </c:pt>
                <c:pt idx="12">
                  <c:v> Alemanha </c:v>
                </c:pt>
                <c:pt idx="13">
                  <c:v> Reino Unido </c:v>
                </c:pt>
                <c:pt idx="14">
                  <c:v> Holanda </c:v>
                </c:pt>
                <c:pt idx="15">
                  <c:v> México </c:v>
                </c:pt>
                <c:pt idx="16">
                  <c:v> Emirados Árabes Unidos </c:v>
                </c:pt>
                <c:pt idx="17">
                  <c:v> Bolívia </c:v>
                </c:pt>
                <c:pt idx="18">
                  <c:v> África Do Sul </c:v>
                </c:pt>
                <c:pt idx="19">
                  <c:v> Equador </c:v>
                </c:pt>
              </c:strCache>
            </c:strRef>
          </c:cat>
          <c:val>
            <c:numRef>
              <c:f>'Fig 2.38'!$C$6:$C$25</c:f>
              <c:numCache>
                <c:formatCode>_(* #,##0_);_(* \(#,##0\);_(* "-"??_);_(@_)</c:formatCode>
                <c:ptCount val="20"/>
                <c:pt idx="0">
                  <c:v>31870</c:v>
                </c:pt>
                <c:pt idx="1">
                  <c:v>26517</c:v>
                </c:pt>
                <c:pt idx="2">
                  <c:v>13823</c:v>
                </c:pt>
                <c:pt idx="3">
                  <c:v>8732</c:v>
                </c:pt>
                <c:pt idx="4">
                  <c:v>8481</c:v>
                </c:pt>
                <c:pt idx="5">
                  <c:v>5266</c:v>
                </c:pt>
                <c:pt idx="6">
                  <c:v>5136</c:v>
                </c:pt>
                <c:pt idx="7">
                  <c:v>4973</c:v>
                </c:pt>
                <c:pt idx="8">
                  <c:v>4133</c:v>
                </c:pt>
                <c:pt idx="9">
                  <c:v>3739</c:v>
                </c:pt>
                <c:pt idx="10">
                  <c:v>3247</c:v>
                </c:pt>
                <c:pt idx="11">
                  <c:v>3165</c:v>
                </c:pt>
                <c:pt idx="12">
                  <c:v>2543</c:v>
                </c:pt>
                <c:pt idx="13">
                  <c:v>2266</c:v>
                </c:pt>
                <c:pt idx="14">
                  <c:v>1857</c:v>
                </c:pt>
                <c:pt idx="15">
                  <c:v>1698</c:v>
                </c:pt>
                <c:pt idx="16">
                  <c:v>1658</c:v>
                </c:pt>
                <c:pt idx="17">
                  <c:v>1413</c:v>
                </c:pt>
                <c:pt idx="18">
                  <c:v>1250</c:v>
                </c:pt>
                <c:pt idx="19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8F4-BF29-733FFDAA4C31}"/>
            </c:ext>
          </c:extLst>
        </c:ser>
        <c:ser>
          <c:idx val="0"/>
          <c:order val="1"/>
          <c:tx>
            <c:strRef>
              <c:f>'Fig 2.38'!$B$27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2.38'!$A$6:$A$25</c:f>
              <c:strCache>
                <c:ptCount val="20"/>
                <c:pt idx="0">
                  <c:v> Argentina </c:v>
                </c:pt>
                <c:pt idx="1">
                  <c:v> Estados Unidos </c:v>
                </c:pt>
                <c:pt idx="2">
                  <c:v> Chile </c:v>
                </c:pt>
                <c:pt idx="3">
                  <c:v> Portugal </c:v>
                </c:pt>
                <c:pt idx="4">
                  <c:v> Panamá </c:v>
                </c:pt>
                <c:pt idx="5">
                  <c:v> Uruguai </c:v>
                </c:pt>
                <c:pt idx="6">
                  <c:v> Peru </c:v>
                </c:pt>
                <c:pt idx="7">
                  <c:v> Colômbia </c:v>
                </c:pt>
                <c:pt idx="8">
                  <c:v> Espanha </c:v>
                </c:pt>
                <c:pt idx="9">
                  <c:v> Paraguai </c:v>
                </c:pt>
                <c:pt idx="10">
                  <c:v> França </c:v>
                </c:pt>
                <c:pt idx="11">
                  <c:v> Itália </c:v>
                </c:pt>
                <c:pt idx="12">
                  <c:v> Alemanha </c:v>
                </c:pt>
                <c:pt idx="13">
                  <c:v> Reino Unido </c:v>
                </c:pt>
                <c:pt idx="14">
                  <c:v> Holanda </c:v>
                </c:pt>
                <c:pt idx="15">
                  <c:v> México </c:v>
                </c:pt>
                <c:pt idx="16">
                  <c:v> Emirados Árabes Unidos </c:v>
                </c:pt>
                <c:pt idx="17">
                  <c:v> Bolívia </c:v>
                </c:pt>
                <c:pt idx="18">
                  <c:v> África Do Sul </c:v>
                </c:pt>
                <c:pt idx="19">
                  <c:v> Equador </c:v>
                </c:pt>
              </c:strCache>
            </c:strRef>
          </c:cat>
          <c:val>
            <c:numRef>
              <c:f>'Fig 2.38'!$B$6:$B$25</c:f>
              <c:numCache>
                <c:formatCode>_(* #,##0_);_(* \(#,##0\);_(* "-"??_);_(@_)</c:formatCode>
                <c:ptCount val="20"/>
                <c:pt idx="0">
                  <c:v>28602</c:v>
                </c:pt>
                <c:pt idx="1">
                  <c:v>23425</c:v>
                </c:pt>
                <c:pt idx="2">
                  <c:v>11601</c:v>
                </c:pt>
                <c:pt idx="3">
                  <c:v>7526</c:v>
                </c:pt>
                <c:pt idx="4">
                  <c:v>8402</c:v>
                </c:pt>
                <c:pt idx="5">
                  <c:v>5522</c:v>
                </c:pt>
                <c:pt idx="6">
                  <c:v>4799</c:v>
                </c:pt>
                <c:pt idx="7">
                  <c:v>4418</c:v>
                </c:pt>
                <c:pt idx="8">
                  <c:v>3803</c:v>
                </c:pt>
                <c:pt idx="9">
                  <c:v>2773</c:v>
                </c:pt>
                <c:pt idx="10">
                  <c:v>2729</c:v>
                </c:pt>
                <c:pt idx="11">
                  <c:v>2096</c:v>
                </c:pt>
                <c:pt idx="12">
                  <c:v>2535</c:v>
                </c:pt>
                <c:pt idx="13">
                  <c:v>2019</c:v>
                </c:pt>
                <c:pt idx="14">
                  <c:v>1645</c:v>
                </c:pt>
                <c:pt idx="15">
                  <c:v>1492</c:v>
                </c:pt>
                <c:pt idx="16">
                  <c:v>1622</c:v>
                </c:pt>
                <c:pt idx="17">
                  <c:v>1459</c:v>
                </c:pt>
                <c:pt idx="18">
                  <c:v>1159</c:v>
                </c:pt>
                <c:pt idx="19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D-48F4-BF29-733FFDAA4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135337824"/>
        <c:axId val="135333904"/>
      </c:barChart>
      <c:catAx>
        <c:axId val="1353378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5333904"/>
        <c:crosses val="autoZero"/>
        <c:auto val="1"/>
        <c:lblAlgn val="ctr"/>
        <c:lblOffset val="100"/>
        <c:noMultiLvlLbl val="0"/>
      </c:catAx>
      <c:valAx>
        <c:axId val="135333904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nextTo"/>
        <c:crossAx val="135337824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Milhares de Voos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03593540734238E-2"/>
          <c:y val="5.0278240740740728E-2"/>
          <c:w val="0.9217742540125754"/>
          <c:h val="0.77293726851853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2.39'!$A$6:$A$15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2.39'!$B$6:$B$15</c:f>
              <c:numCache>
                <c:formatCode>_(* #,##0_);_(* \(#,##0\);_(* "-"??_);_(@_)</c:formatCode>
                <c:ptCount val="10"/>
                <c:pt idx="0">
                  <c:v>101808274860</c:v>
                </c:pt>
                <c:pt idx="1">
                  <c:v>115446076490</c:v>
                </c:pt>
                <c:pt idx="2">
                  <c:v>131664331587</c:v>
                </c:pt>
                <c:pt idx="3">
                  <c:v>144492129751</c:v>
                </c:pt>
                <c:pt idx="4">
                  <c:v>151002150714</c:v>
                </c:pt>
                <c:pt idx="5">
                  <c:v>163145704001</c:v>
                </c:pt>
                <c:pt idx="6">
                  <c:v>166897175591</c:v>
                </c:pt>
                <c:pt idx="7">
                  <c:v>155804900552</c:v>
                </c:pt>
                <c:pt idx="8">
                  <c:v>152971601156</c:v>
                </c:pt>
                <c:pt idx="9">
                  <c:v>171979371326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FB7-BCE2-D2253170BE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39392"/>
        <c:axId val="135185840"/>
      </c:barChart>
      <c:catAx>
        <c:axId val="1353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185840"/>
        <c:crosses val="autoZero"/>
        <c:auto val="1"/>
        <c:lblAlgn val="ctr"/>
        <c:lblOffset val="100"/>
        <c:noMultiLvlLbl val="0"/>
      </c:catAx>
      <c:valAx>
        <c:axId val="13518584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Bilhões de ASK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13533939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423731274845531E-2"/>
                <c:y val="5.0278417730900068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 de ASK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1703303424648344E-2"/>
          <c:y val="4.1666666666666664E-2"/>
          <c:w val="0.95516570000765544"/>
          <c:h val="0.81677493438321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2.40'!$A$6:$A$15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2.40'!$B$6:$B$15</c:f>
              <c:numCache>
                <c:formatCode>0.00%</c:formatCode>
                <c:ptCount val="10"/>
                <c:pt idx="0">
                  <c:v>9.1393501362618083E-3</c:v>
                </c:pt>
                <c:pt idx="1">
                  <c:v>0.13395572853732962</c:v>
                </c:pt>
                <c:pt idx="2">
                  <c:v>0.14048338055390591</c:v>
                </c:pt>
                <c:pt idx="3">
                  <c:v>9.7428043034751291E-2</c:v>
                </c:pt>
                <c:pt idx="4">
                  <c:v>4.5054502097924443E-2</c:v>
                </c:pt>
                <c:pt idx="5">
                  <c:v>8.0419737265862157E-2</c:v>
                </c:pt>
                <c:pt idx="6">
                  <c:v>2.2994608487986942E-2</c:v>
                </c:pt>
                <c:pt idx="7">
                  <c:v>-6.6461730102508429E-2</c:v>
                </c:pt>
                <c:pt idx="8">
                  <c:v>-1.8184918355981905E-2</c:v>
                </c:pt>
                <c:pt idx="9">
                  <c:v>0.12425685569320759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1C-4B1E-9202-DAAD358D8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192504"/>
        <c:axId val="135186624"/>
      </c:barChart>
      <c:catAx>
        <c:axId val="1351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5186624"/>
        <c:crosses val="autoZero"/>
        <c:auto val="1"/>
        <c:lblAlgn val="ctr"/>
        <c:lblOffset val="100"/>
        <c:noMultiLvlLbl val="0"/>
      </c:catAx>
      <c:valAx>
        <c:axId val="13518662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1925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2.41'!$B$5</c:f>
              <c:strCache>
                <c:ptCount val="1"/>
                <c:pt idx="0">
                  <c:v>Empresas Brasileiras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2.41'!$A$6:$A$15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2.41'!$B$6:$B$15</c:f>
              <c:numCache>
                <c:formatCode>_(* #,##0_);_(* \(#,##0\);_(* "-"??_);_(@_)</c:formatCode>
                <c:ptCount val="10"/>
                <c:pt idx="0">
                  <c:v>28227373767</c:v>
                </c:pt>
                <c:pt idx="1">
                  <c:v>31043441710</c:v>
                </c:pt>
                <c:pt idx="2">
                  <c:v>33436123751</c:v>
                </c:pt>
                <c:pt idx="3">
                  <c:v>33446763456</c:v>
                </c:pt>
                <c:pt idx="4">
                  <c:v>35922186329</c:v>
                </c:pt>
                <c:pt idx="5">
                  <c:v>35343100911</c:v>
                </c:pt>
                <c:pt idx="6">
                  <c:v>40747575342</c:v>
                </c:pt>
                <c:pt idx="7">
                  <c:v>39476133118</c:v>
                </c:pt>
                <c:pt idx="8">
                  <c:v>43671978573</c:v>
                </c:pt>
                <c:pt idx="9">
                  <c:v>52324769483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710-B5BF-89AAFB2E5C8C}"/>
            </c:ext>
          </c:extLst>
        </c:ser>
        <c:ser>
          <c:idx val="1"/>
          <c:order val="1"/>
          <c:tx>
            <c:strRef>
              <c:f>'Fig 2.41'!$C$5</c:f>
              <c:strCache>
                <c:ptCount val="1"/>
                <c:pt idx="0">
                  <c:v>Empresas Estrangeiras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2.41'!$A$6:$A$15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2.41'!$C$6:$C$15</c:f>
              <c:numCache>
                <c:formatCode>_(* #,##0_);_(* \(#,##0\);_(* "-"??_);_(@_)</c:formatCode>
                <c:ptCount val="10"/>
                <c:pt idx="0">
                  <c:v>73580901093</c:v>
                </c:pt>
                <c:pt idx="1">
                  <c:v>84402634780</c:v>
                </c:pt>
                <c:pt idx="2">
                  <c:v>98228207836</c:v>
                </c:pt>
                <c:pt idx="3">
                  <c:v>111045366295</c:v>
                </c:pt>
                <c:pt idx="4">
                  <c:v>115079964385</c:v>
                </c:pt>
                <c:pt idx="5">
                  <c:v>127802603090</c:v>
                </c:pt>
                <c:pt idx="6">
                  <c:v>126149600249</c:v>
                </c:pt>
                <c:pt idx="7">
                  <c:v>116328767434</c:v>
                </c:pt>
                <c:pt idx="8">
                  <c:v>109299622583</c:v>
                </c:pt>
                <c:pt idx="9">
                  <c:v>119654601843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710-B5BF-89AAFB2E5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135187408"/>
        <c:axId val="135192112"/>
      </c:barChart>
      <c:catAx>
        <c:axId val="13518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192112"/>
        <c:crosses val="autoZero"/>
        <c:auto val="1"/>
        <c:lblAlgn val="ctr"/>
        <c:lblOffset val="100"/>
        <c:noMultiLvlLbl val="0"/>
      </c:catAx>
      <c:valAx>
        <c:axId val="13519211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Bilhões de ASK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35187408"/>
        <c:crosses val="autoZero"/>
        <c:crossBetween val="between"/>
        <c:dispUnits>
          <c:builtInUnit val="b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 de ASK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319B-430C-ACCF-F6BF8F171BF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2.42'!$A$6:$A$7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2.42'!$B$6:$B$7</c:f>
              <c:numCache>
                <c:formatCode>0.0%</c:formatCode>
                <c:ptCount val="2"/>
                <c:pt idx="0">
                  <c:v>0.85368890194707858</c:v>
                </c:pt>
                <c:pt idx="1">
                  <c:v>0.62616385591373447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B-430C-ACCF-F6BF8F171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188584"/>
        <c:axId val="135192896"/>
      </c:barChart>
      <c:catAx>
        <c:axId val="1351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192896"/>
        <c:crosses val="autoZero"/>
        <c:auto val="1"/>
        <c:lblAlgn val="ctr"/>
        <c:lblOffset val="100"/>
        <c:noMultiLvlLbl val="0"/>
      </c:catAx>
      <c:valAx>
        <c:axId val="13519289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188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290-42F2-9C48-9AC289DC96F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2.43'!$A$6:$A$7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2.43'!$B$6:$B$7</c:f>
              <c:numCache>
                <c:formatCode>0.0%</c:formatCode>
                <c:ptCount val="2"/>
                <c:pt idx="0">
                  <c:v>0.19813141498813494</c:v>
                </c:pt>
                <c:pt idx="1">
                  <c:v>9.4739387156955929E-2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90-42F2-9C48-9AC289DC96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187800"/>
        <c:axId val="135186232"/>
      </c:barChart>
      <c:catAx>
        <c:axId val="1351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35186232"/>
        <c:crosses val="autoZero"/>
        <c:auto val="1"/>
        <c:lblAlgn val="ctr"/>
        <c:lblOffset val="100"/>
        <c:noMultiLvlLbl val="0"/>
      </c:catAx>
      <c:valAx>
        <c:axId val="13518623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187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90700741792929362"/>
          <c:h val="0.9776265321216286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2350-48CA-98C1-322661D08EB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2350-48CA-98C1-322661D08EB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2350-48CA-98C1-322661D08EB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2350-48CA-98C1-322661D08EB8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2350-48CA-98C1-322661D08EB8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2350-48CA-98C1-322661D08EB8}"/>
              </c:ext>
            </c:extLst>
          </c:dPt>
          <c:dPt>
            <c:idx val="6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D-2350-48CA-98C1-322661D08EB8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2350-48CA-98C1-322661D08EB8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2350-48CA-98C1-322661D08EB8}"/>
              </c:ext>
            </c:extLst>
          </c:dPt>
          <c:dPt>
            <c:idx val="9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2350-48CA-98C1-322661D08EB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2.44'!$A$6:$A$16</c:f>
              <c:strCache>
                <c:ptCount val="11"/>
                <c:pt idx="0">
                  <c:v> Latam </c:v>
                </c:pt>
                <c:pt idx="1">
                  <c:v> Azul </c:v>
                </c:pt>
                <c:pt idx="2">
                  <c:v> Gol </c:v>
                </c:pt>
                <c:pt idx="3">
                  <c:v> Avianca </c:v>
                </c:pt>
                <c:pt idx="4">
                  <c:v> Demais Brasileiras </c:v>
                </c:pt>
                <c:pt idx="5">
                  <c:v> TAP </c:v>
                </c:pt>
                <c:pt idx="6">
                  <c:v> American Airlines </c:v>
                </c:pt>
                <c:pt idx="7">
                  <c:v> Emirates </c:v>
                </c:pt>
                <c:pt idx="8">
                  <c:v> United Air Lines </c:v>
                </c:pt>
                <c:pt idx="9">
                  <c:v> Air France </c:v>
                </c:pt>
                <c:pt idx="10">
                  <c:v> Demais Estrangeiras </c:v>
                </c:pt>
              </c:strCache>
            </c:strRef>
          </c:cat>
          <c:val>
            <c:numRef>
              <c:f>'Fig 2.44'!$B$6:$B$16</c:f>
              <c:numCache>
                <c:formatCode>_(* #,##0_);_(* \(#,##0\);_(* "-"??_);_(@_)</c:formatCode>
                <c:ptCount val="11"/>
                <c:pt idx="0">
                  <c:v>35359170065</c:v>
                </c:pt>
                <c:pt idx="1">
                  <c:v>7249749955</c:v>
                </c:pt>
                <c:pt idx="2">
                  <c:v>5630012329</c:v>
                </c:pt>
                <c:pt idx="3">
                  <c:v>4081393150</c:v>
                </c:pt>
                <c:pt idx="4">
                  <c:v>4443984</c:v>
                </c:pt>
                <c:pt idx="5">
                  <c:v>14940091486</c:v>
                </c:pt>
                <c:pt idx="6">
                  <c:v>13432910036</c:v>
                </c:pt>
                <c:pt idx="7">
                  <c:v>10352185223</c:v>
                </c:pt>
                <c:pt idx="8">
                  <c:v>7045220049</c:v>
                </c:pt>
                <c:pt idx="9">
                  <c:v>7031136262</c:v>
                </c:pt>
                <c:pt idx="10">
                  <c:v>66853058787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50-48CA-98C1-322661D08E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8913532621091498"/>
          <c:y val="4.8440169810988379E-2"/>
          <c:w val="0.19883701016274438"/>
          <c:h val="0.92292624495763531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1.5'!$B$5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1.5'!$A$6:$A$20</c15:sqref>
                  </c15:fullRef>
                </c:ext>
              </c:extLst>
              <c:f>'Fig 1.5'!$A$7:$A$20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1.5'!$B$6:$B$20</c15:sqref>
                  </c15:fullRef>
                </c:ext>
              </c:extLst>
              <c:f>'Fig 1.5'!$B$7:$B$20</c:f>
              <c:numCache>
                <c:formatCode>_(* #,##0.0_);_(* \(#,##0.0\);_(* "-"??_);_(@_)</c:formatCode>
                <c:ptCount val="14"/>
                <c:pt idx="0">
                  <c:v>5.595690968950314</c:v>
                </c:pt>
                <c:pt idx="1">
                  <c:v>12.068965517241379</c:v>
                </c:pt>
                <c:pt idx="2">
                  <c:v>6.0958109954195319</c:v>
                </c:pt>
                <c:pt idx="3">
                  <c:v>17.733045770428948</c:v>
                </c:pt>
                <c:pt idx="4">
                  <c:v>6.0438044435101368</c:v>
                </c:pt>
                <c:pt idx="5">
                  <c:v>4.1152263374485596</c:v>
                </c:pt>
                <c:pt idx="6">
                  <c:v>5.5357142857142856</c:v>
                </c:pt>
                <c:pt idx="7">
                  <c:v>11.660188784008884</c:v>
                </c:pt>
                <c:pt idx="8">
                  <c:v>9.4054417198522007</c:v>
                </c:pt>
                <c:pt idx="9">
                  <c:v>0</c:v>
                </c:pt>
                <c:pt idx="10">
                  <c:v>25</c:v>
                </c:pt>
                <c:pt idx="11">
                  <c:v>7.8389316583042881</c:v>
                </c:pt>
                <c:pt idx="12">
                  <c:v>4.2928690674934415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4013-988C-7889DC014FD6}"/>
            </c:ext>
          </c:extLst>
        </c:ser>
        <c:ser>
          <c:idx val="1"/>
          <c:order val="1"/>
          <c:tx>
            <c:strRef>
              <c:f>'Fig 1.5'!$C$5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1.5'!$A$6:$A$20</c15:sqref>
                  </c15:fullRef>
                </c:ext>
              </c:extLst>
              <c:f>'Fig 1.5'!$A$7:$A$20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1.5'!$C$6:$C$20</c15:sqref>
                  </c15:fullRef>
                </c:ext>
              </c:extLst>
              <c:f>'Fig 1.5'!$C$7:$C$20</c:f>
              <c:numCache>
                <c:formatCode>_(* #,##0.0_);_(* \(#,##0.0\);_(* "-"??_);_(@_)</c:formatCode>
                <c:ptCount val="14"/>
                <c:pt idx="0">
                  <c:v>6.3934471075123005</c:v>
                </c:pt>
                <c:pt idx="1">
                  <c:v>0</c:v>
                </c:pt>
                <c:pt idx="2">
                  <c:v>5.5685288306089458</c:v>
                </c:pt>
                <c:pt idx="3">
                  <c:v>18.155757286192067</c:v>
                </c:pt>
                <c:pt idx="4">
                  <c:v>7.0882876672985242</c:v>
                </c:pt>
                <c:pt idx="5">
                  <c:v>5.143277002204262</c:v>
                </c:pt>
                <c:pt idx="6">
                  <c:v>5.7762583991512439</c:v>
                </c:pt>
                <c:pt idx="7">
                  <c:v>0</c:v>
                </c:pt>
                <c:pt idx="8">
                  <c:v>8.1067597904714397</c:v>
                </c:pt>
                <c:pt idx="9">
                  <c:v>0</c:v>
                </c:pt>
                <c:pt idx="10">
                  <c:v>0</c:v>
                </c:pt>
                <c:pt idx="11">
                  <c:v>8.463435039152241</c:v>
                </c:pt>
                <c:pt idx="12">
                  <c:v>4.2350449973530973</c:v>
                </c:pt>
                <c:pt idx="13">
                  <c:v>184.61538461538461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6-4013-988C-7889DC014FD6}"/>
            </c:ext>
          </c:extLst>
        </c:ser>
        <c:ser>
          <c:idx val="2"/>
          <c:order val="2"/>
          <c:tx>
            <c:strRef>
              <c:f>'Fig 1.5'!$D$5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 1.5'!$A$6:$A$20</c15:sqref>
                  </c15:fullRef>
                </c:ext>
              </c:extLst>
              <c:f>'Fig 1.5'!$A$7:$A$20</c:f>
              <c:strCache>
                <c:ptCount val="14"/>
                <c:pt idx="0">
                  <c:v>Azul</c:v>
                </c:pt>
                <c:pt idx="1">
                  <c:v>Flyways</c:v>
                </c:pt>
                <c:pt idx="2">
                  <c:v>Gol</c:v>
                </c:pt>
                <c:pt idx="3">
                  <c:v>Absa</c:v>
                </c:pt>
                <c:pt idx="4">
                  <c:v>Avianca</c:v>
                </c:pt>
                <c:pt idx="5">
                  <c:v>MAP</c:v>
                </c:pt>
                <c:pt idx="6">
                  <c:v>Passaredo</c:v>
                </c:pt>
                <c:pt idx="7">
                  <c:v>Rio Linhas Aéreas</c:v>
                </c:pt>
                <c:pt idx="8">
                  <c:v>Sideral</c:v>
                </c:pt>
                <c:pt idx="9">
                  <c:v>Sete</c:v>
                </c:pt>
                <c:pt idx="10">
                  <c:v>Sterna</c:v>
                </c:pt>
                <c:pt idx="11">
                  <c:v>Latam</c:v>
                </c:pt>
                <c:pt idx="12">
                  <c:v>Total Linhas Aéreas</c:v>
                </c:pt>
                <c:pt idx="13">
                  <c:v>Modern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1.5'!$D$6:$D$20</c15:sqref>
                  </c15:fullRef>
                </c:ext>
              </c:extLst>
              <c:f>'Fig 1.5'!$D$7:$D$20</c:f>
              <c:numCache>
                <c:formatCode>_(* #,##0.0_);_(* \(#,##0.0\);_(* "-"??_);_(@_)</c:formatCode>
                <c:ptCount val="14"/>
                <c:pt idx="0">
                  <c:v>6.6648110348240248</c:v>
                </c:pt>
                <c:pt idx="1">
                  <c:v>0</c:v>
                </c:pt>
                <c:pt idx="2">
                  <c:v>5.700296415413602</c:v>
                </c:pt>
                <c:pt idx="3">
                  <c:v>17.539810754673439</c:v>
                </c:pt>
                <c:pt idx="4">
                  <c:v>0</c:v>
                </c:pt>
                <c:pt idx="5">
                  <c:v>4.4340723453908986</c:v>
                </c:pt>
                <c:pt idx="6">
                  <c:v>5.6731398647174336</c:v>
                </c:pt>
                <c:pt idx="7">
                  <c:v>0</c:v>
                </c:pt>
                <c:pt idx="8">
                  <c:v>7.6070139247034554</c:v>
                </c:pt>
                <c:pt idx="9">
                  <c:v>0</c:v>
                </c:pt>
                <c:pt idx="10">
                  <c:v>0</c:v>
                </c:pt>
                <c:pt idx="11">
                  <c:v>8.7218487722320575</c:v>
                </c:pt>
                <c:pt idx="12">
                  <c:v>4.6363372935381051</c:v>
                </c:pt>
                <c:pt idx="13">
                  <c:v>43.79562043795621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6-4013-988C-7889DC01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7"/>
        <c:axId val="132210560"/>
        <c:axId val="132213304"/>
      </c:barChart>
      <c:catAx>
        <c:axId val="1322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2213304"/>
        <c:crosses val="autoZero"/>
        <c:auto val="1"/>
        <c:lblAlgn val="ctr"/>
        <c:lblOffset val="100"/>
        <c:noMultiLvlLbl val="0"/>
      </c:catAx>
      <c:valAx>
        <c:axId val="13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1322105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2.45'!$B$5</c:f>
              <c:strCache>
                <c:ptCount val="1"/>
                <c:pt idx="0">
                  <c:v>ASK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4EF-4183-9295-701673BFEA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4EF-4183-9295-701673BFEA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C4EF-4183-9295-701673BFEA5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C4EF-4183-9295-701673BFEA57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8-C4EF-4183-9295-701673BFEA57}"/>
              </c:ext>
            </c:extLst>
          </c:dPt>
          <c:dPt>
            <c:idx val="5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A-C4EF-4183-9295-701673BFEA5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C4EF-4183-9295-701673BFEA5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C4EF-4183-9295-701673BFE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4EF-4183-9295-701673BFEA5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2.45'!$A$6:$A$15</c:f>
              <c:strCache>
                <c:ptCount val="10"/>
                <c:pt idx="0">
                  <c:v> Latam </c:v>
                </c:pt>
                <c:pt idx="1">
                  <c:v> Azul </c:v>
                </c:pt>
                <c:pt idx="2">
                  <c:v> Gol </c:v>
                </c:pt>
                <c:pt idx="3">
                  <c:v> Avianca </c:v>
                </c:pt>
                <c:pt idx="4">
                  <c:v> TAP </c:v>
                </c:pt>
                <c:pt idx="5">
                  <c:v> American Airlines </c:v>
                </c:pt>
                <c:pt idx="6">
                  <c:v> Emirates </c:v>
                </c:pt>
                <c:pt idx="7">
                  <c:v> United Air Lines </c:v>
                </c:pt>
                <c:pt idx="8">
                  <c:v> Air France </c:v>
                </c:pt>
                <c:pt idx="9">
                  <c:v> Demais Estrangeiras </c:v>
                </c:pt>
              </c:strCache>
            </c:strRef>
          </c:cat>
          <c:val>
            <c:numRef>
              <c:f>'Fig 2.45'!$B$6:$B$15</c:f>
              <c:numCache>
                <c:formatCode>0.0%</c:formatCode>
                <c:ptCount val="10"/>
                <c:pt idx="0">
                  <c:v>9.4161203741990773E-2</c:v>
                </c:pt>
                <c:pt idx="1">
                  <c:v>0.48416264743282822</c:v>
                </c:pt>
                <c:pt idx="2">
                  <c:v>7.6184328463414941E-2</c:v>
                </c:pt>
                <c:pt idx="3">
                  <c:v>2.2926518843833827</c:v>
                </c:pt>
                <c:pt idx="4">
                  <c:v>0.13092586612633705</c:v>
                </c:pt>
                <c:pt idx="5">
                  <c:v>-9.5252313609103245E-3</c:v>
                </c:pt>
                <c:pt idx="6">
                  <c:v>0.16085530889860622</c:v>
                </c:pt>
                <c:pt idx="7">
                  <c:v>-2.1236680434320032E-3</c:v>
                </c:pt>
                <c:pt idx="8">
                  <c:v>0.12911709246357383</c:v>
                </c:pt>
                <c:pt idx="9">
                  <c:v>0.10827013650302231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EF-4183-9295-701673BFE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189760"/>
        <c:axId val="135190152"/>
      </c:barChart>
      <c:catAx>
        <c:axId val="1351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pt-BR"/>
          </a:p>
        </c:txPr>
        <c:crossAx val="135190152"/>
        <c:crosses val="autoZero"/>
        <c:auto val="1"/>
        <c:lblAlgn val="ctr"/>
        <c:lblOffset val="100"/>
        <c:noMultiLvlLbl val="0"/>
      </c:catAx>
      <c:valAx>
        <c:axId val="13519015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518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6816996000688905E-2"/>
          <c:y val="5.0278240740740728E-2"/>
          <c:w val="0.92226082111674357"/>
          <c:h val="0.77293726851853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3.1'!$B$5</c:f>
              <c:strCache>
                <c:ptCount val="1"/>
                <c:pt idx="0">
                  <c:v>Doméstica</c:v>
                </c:pt>
              </c:strCache>
            </c:strRef>
          </c:tx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delete val="1"/>
          </c:dLbls>
          <c:cat>
            <c:numRef>
              <c:f>'Fig 3.1'!$A$6:$A$15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3.1'!$B$6:$B$15</c:f>
              <c:numCache>
                <c:formatCode>_(* #,##0_);_(* \(#,##0\);_(* "-"??_);_(@_)</c:formatCode>
                <c:ptCount val="10"/>
                <c:pt idx="0">
                  <c:v>57123672</c:v>
                </c:pt>
                <c:pt idx="1">
                  <c:v>70148029</c:v>
                </c:pt>
                <c:pt idx="2">
                  <c:v>82072795</c:v>
                </c:pt>
                <c:pt idx="3">
                  <c:v>88688896</c:v>
                </c:pt>
                <c:pt idx="4">
                  <c:v>90239471</c:v>
                </c:pt>
                <c:pt idx="5">
                  <c:v>95913262</c:v>
                </c:pt>
                <c:pt idx="6">
                  <c:v>96180343</c:v>
                </c:pt>
                <c:pt idx="7">
                  <c:v>88680274</c:v>
                </c:pt>
                <c:pt idx="8">
                  <c:v>90626532</c:v>
                </c:pt>
                <c:pt idx="9">
                  <c:v>93648950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3-459B-B6AE-6828D9C1642C}"/>
            </c:ext>
          </c:extLst>
        </c:ser>
        <c:ser>
          <c:idx val="1"/>
          <c:order val="1"/>
          <c:tx>
            <c:strRef>
              <c:f>'Fig 3.1'!$C$5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8.6780414320665814E-2"/>
                </c:manualLayout>
              </c:layout>
              <c:tx>
                <c:rich>
                  <a:bodyPr/>
                  <a:lstStyle/>
                  <a:p>
                    <a:fld id="{A8DC8E96-6B0F-4958-BBE9-A1E2D60DBC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F3-459B-B6AE-6828D9C1642C}"/>
                </c:ext>
              </c:extLst>
            </c:dLbl>
            <c:dLbl>
              <c:idx val="1"/>
              <c:layout>
                <c:manualLayout>
                  <c:x val="-4.031851627860095E-3"/>
                  <c:y val="-7.8340153206764976E-2"/>
                </c:manualLayout>
              </c:layout>
              <c:tx>
                <c:rich>
                  <a:bodyPr/>
                  <a:lstStyle/>
                  <a:p>
                    <a:fld id="{6B6DA177-7DA0-479E-9903-42FEC7CF48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FF3-459B-B6AE-6828D9C1642C}"/>
                </c:ext>
              </c:extLst>
            </c:dLbl>
            <c:dLbl>
              <c:idx val="2"/>
              <c:layout>
                <c:manualLayout>
                  <c:x val="-3.6958212977620786E-17"/>
                  <c:y val="-8.5972286028696887E-2"/>
                </c:manualLayout>
              </c:layout>
              <c:tx>
                <c:rich>
                  <a:bodyPr/>
                  <a:lstStyle/>
                  <a:p>
                    <a:fld id="{E81AF70D-6A71-4E8E-8ED4-9A08FE3B147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F3-459B-B6AE-6828D9C1642C}"/>
                </c:ext>
              </c:extLst>
            </c:dLbl>
            <c:dLbl>
              <c:idx val="3"/>
              <c:layout>
                <c:manualLayout>
                  <c:x val="-2.0159258139300475E-3"/>
                  <c:y val="-0.10546608403935945"/>
                </c:manualLayout>
              </c:layout>
              <c:tx>
                <c:rich>
                  <a:bodyPr/>
                  <a:lstStyle/>
                  <a:p>
                    <a:fld id="{2EB7AE3F-AA01-4926-9081-21952F1D69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FF3-459B-B6AE-6828D9C1642C}"/>
                </c:ext>
              </c:extLst>
            </c:dLbl>
            <c:dLbl>
              <c:idx val="4"/>
              <c:layout>
                <c:manualLayout>
                  <c:x val="0"/>
                  <c:y val="-0.10395196529877458"/>
                </c:manualLayout>
              </c:layout>
              <c:tx>
                <c:rich>
                  <a:bodyPr/>
                  <a:lstStyle/>
                  <a:p>
                    <a:fld id="{811EB8C3-A530-4FB7-9C4E-28FE0C54146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F3-459B-B6AE-6828D9C1642C}"/>
                </c:ext>
              </c:extLst>
            </c:dLbl>
            <c:dLbl>
              <c:idx val="5"/>
              <c:layout>
                <c:manualLayout>
                  <c:x val="0"/>
                  <c:y val="-0.10102501095097172"/>
                </c:manualLayout>
              </c:layout>
              <c:tx>
                <c:rich>
                  <a:bodyPr/>
                  <a:lstStyle/>
                  <a:p>
                    <a:fld id="{15388F29-51FC-4C16-ADA3-01E108F7F1E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FF3-459B-B6AE-6828D9C1642C}"/>
                </c:ext>
              </c:extLst>
            </c:dLbl>
            <c:dLbl>
              <c:idx val="6"/>
              <c:layout>
                <c:manualLayout>
                  <c:x val="0"/>
                  <c:y val="-9.8703618628404155E-2"/>
                </c:manualLayout>
              </c:layout>
              <c:tx>
                <c:rich>
                  <a:bodyPr/>
                  <a:lstStyle/>
                  <a:p>
                    <a:fld id="{307F2112-35DB-481C-8F1C-C2CFF5F7D6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F3-459B-B6AE-6828D9C1642C}"/>
                </c:ext>
              </c:extLst>
            </c:dLbl>
            <c:dLbl>
              <c:idx val="7"/>
              <c:layout>
                <c:manualLayout>
                  <c:x val="0"/>
                  <c:y val="-0.10531950127672307"/>
                </c:manualLayout>
              </c:layout>
              <c:tx>
                <c:rich>
                  <a:bodyPr/>
                  <a:lstStyle/>
                  <a:p>
                    <a:fld id="{6AC32367-DE5F-4D46-B7BD-3CADD99D554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FF3-459B-B6AE-6828D9C1642C}"/>
                </c:ext>
              </c:extLst>
            </c:dLbl>
            <c:dLbl>
              <c:idx val="8"/>
              <c:layout>
                <c:manualLayout>
                  <c:x val="-2.0159258139301954E-3"/>
                  <c:y val="-0.1045917157234586"/>
                </c:manualLayout>
              </c:layout>
              <c:tx>
                <c:rich>
                  <a:bodyPr/>
                  <a:lstStyle/>
                  <a:p>
                    <a:fld id="{1BBA4881-1EAF-4C8B-9701-A56E82500CE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F3-459B-B6AE-6828D9C1642C}"/>
                </c:ext>
              </c:extLst>
            </c:dLbl>
            <c:dLbl>
              <c:idx val="9"/>
              <c:layout>
                <c:manualLayout>
                  <c:x val="0"/>
                  <c:y val="-9.554204638938453E-2"/>
                </c:manualLayout>
              </c:layout>
              <c:tx>
                <c:rich>
                  <a:bodyPr/>
                  <a:lstStyle/>
                  <a:p>
                    <a:fld id="{7FF1C61F-CFD2-47BF-9F04-D32CC72EB94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FF3-459B-B6AE-6828D9C1642C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'Fig 3.1'!$A$6:$A$15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3.1'!$C$6:$C$15</c:f>
              <c:numCache>
                <c:formatCode>_(* #,##0_);_(* \(#,##0\);_(* "-"??_);_(@_)</c:formatCode>
                <c:ptCount val="10"/>
                <c:pt idx="0">
                  <c:v>12601853</c:v>
                </c:pt>
                <c:pt idx="1">
                  <c:v>15371053</c:v>
                </c:pt>
                <c:pt idx="2">
                  <c:v>17884288</c:v>
                </c:pt>
                <c:pt idx="3">
                  <c:v>18945951</c:v>
                </c:pt>
                <c:pt idx="4">
                  <c:v>19785492</c:v>
                </c:pt>
                <c:pt idx="5">
                  <c:v>21302022</c:v>
                </c:pt>
                <c:pt idx="6">
                  <c:v>21568211</c:v>
                </c:pt>
                <c:pt idx="7">
                  <c:v>20914827</c:v>
                </c:pt>
                <c:pt idx="8">
                  <c:v>21888592</c:v>
                </c:pt>
                <c:pt idx="9">
                  <c:v>23987969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3.1'!$E$6:$E$15</c15:f>
                <c15:dlblRangeCache>
                  <c:ptCount val="10"/>
                  <c:pt idx="0">
                    <c:v> 69,7 </c:v>
                  </c:pt>
                  <c:pt idx="1">
                    <c:v> 85,5 </c:v>
                  </c:pt>
                  <c:pt idx="2">
                    <c:v> 100,0 </c:v>
                  </c:pt>
                  <c:pt idx="3">
                    <c:v> 107,6 </c:v>
                  </c:pt>
                  <c:pt idx="4">
                    <c:v> 110,0 </c:v>
                  </c:pt>
                  <c:pt idx="5">
                    <c:v> 117,2 </c:v>
                  </c:pt>
                  <c:pt idx="6">
                    <c:v> 117,7 </c:v>
                  </c:pt>
                  <c:pt idx="7">
                    <c:v> 109,6 </c:v>
                  </c:pt>
                  <c:pt idx="8">
                    <c:v> 112,5 </c:v>
                  </c:pt>
                  <c:pt idx="9">
                    <c:v> 117,6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FF3-459B-B6AE-6828D9C164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190936"/>
        <c:axId val="135191720"/>
      </c:barChart>
      <c:catAx>
        <c:axId val="1351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191720"/>
        <c:crosses val="autoZero"/>
        <c:auto val="1"/>
        <c:lblAlgn val="ctr"/>
        <c:lblOffset val="100"/>
        <c:noMultiLvlLbl val="0"/>
      </c:catAx>
      <c:valAx>
        <c:axId val="13519172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Passageiros Pagos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351909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6.967960271975375E-3"/>
                <c:y val="4.485090652677913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 Pagos</a:t>
                  </a:r>
                </a:p>
              </c:rich>
            </c:tx>
          </c:dispUnitsLbl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.36350007719623767"/>
          <c:y val="0.91094922189844385"/>
          <c:w val="0.27299984560753426"/>
          <c:h val="8.905077810155724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3.2'!$B$6:$B$15</c:f>
              <c:numCache>
                <c:formatCode>0.0%</c:formatCode>
                <c:ptCount val="10"/>
                <c:pt idx="0">
                  <c:v>9.7662461755075147E-2</c:v>
                </c:pt>
                <c:pt idx="1">
                  <c:v>0.22651040633971561</c:v>
                </c:pt>
                <c:pt idx="2">
                  <c:v>0.16882782955972328</c:v>
                </c:pt>
                <c:pt idx="3">
                  <c:v>7.6810604807265134E-2</c:v>
                </c:pt>
                <c:pt idx="4">
                  <c:v>2.2205782482321919E-2</c:v>
                </c:pt>
                <c:pt idx="5">
                  <c:v>6.5351723862883737E-2</c:v>
                </c:pt>
                <c:pt idx="6">
                  <c:v>4.5494920269953873E-3</c:v>
                </c:pt>
                <c:pt idx="7">
                  <c:v>-6.9244612549551984E-2</c:v>
                </c:pt>
                <c:pt idx="8">
                  <c:v>2.6643736566290495E-2</c:v>
                </c:pt>
                <c:pt idx="9">
                  <c:v>4.5520947032862892E-2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01-45D7-8F16-23ADBB21B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90176"/>
        <c:axId val="393300760"/>
      </c:barChart>
      <c:catAx>
        <c:axId val="393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3300760"/>
        <c:crosses val="autoZero"/>
        <c:auto val="1"/>
        <c:lblAlgn val="ctr"/>
        <c:lblOffset val="100"/>
        <c:noMultiLvlLbl val="0"/>
      </c:catAx>
      <c:valAx>
        <c:axId val="3933007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2901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3305697081982402E-2"/>
          <c:y val="5.0278240740740728E-2"/>
          <c:w val="0.92577211672070403"/>
          <c:h val="0.77293726851853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3.3'!$B$5</c:f>
              <c:strCache>
                <c:ptCount val="1"/>
                <c:pt idx="0">
                  <c:v>Doméstica</c:v>
                </c:pt>
              </c:strCache>
            </c:strRef>
          </c:tx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delete val="1"/>
          </c:dLbls>
          <c:cat>
            <c:numRef>
              <c:f>'Fig 3.3'!$A$6:$A$15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3.3'!$B$6:$B$15</c:f>
              <c:numCache>
                <c:formatCode>_(* #,##0_);_(* \(#,##0\);_(* "-"??_);_(@_)</c:formatCode>
                <c:ptCount val="10"/>
                <c:pt idx="0">
                  <c:v>56862869334</c:v>
                </c:pt>
                <c:pt idx="1">
                  <c:v>70279463281</c:v>
                </c:pt>
                <c:pt idx="2">
                  <c:v>81461989545</c:v>
                </c:pt>
                <c:pt idx="3">
                  <c:v>87047335828</c:v>
                </c:pt>
                <c:pt idx="4">
                  <c:v>88243309570</c:v>
                </c:pt>
                <c:pt idx="5">
                  <c:v>93338045415</c:v>
                </c:pt>
                <c:pt idx="6">
                  <c:v>94373862773</c:v>
                </c:pt>
                <c:pt idx="7">
                  <c:v>89026864137</c:v>
                </c:pt>
                <c:pt idx="8">
                  <c:v>91914321291</c:v>
                </c:pt>
                <c:pt idx="9">
                  <c:v>95941602246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A-4B20-85CD-3DF23E978DDF}"/>
            </c:ext>
          </c:extLst>
        </c:ser>
        <c:ser>
          <c:idx val="1"/>
          <c:order val="1"/>
          <c:tx>
            <c:strRef>
              <c:f>'Fig 3.3'!$C$5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16579480140846897"/>
                </c:manualLayout>
              </c:layout>
              <c:tx>
                <c:rich>
                  <a:bodyPr/>
                  <a:lstStyle/>
                  <a:p>
                    <a:fld id="{24B93B49-DB76-4089-BB5D-E6356793B1D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57A-4B20-85CD-3DF23E978DDF}"/>
                </c:ext>
              </c:extLst>
            </c:dLbl>
            <c:dLbl>
              <c:idx val="1"/>
              <c:layout>
                <c:manualLayout>
                  <c:x val="0"/>
                  <c:y val="-0.16504611235522171"/>
                </c:manualLayout>
              </c:layout>
              <c:tx>
                <c:rich>
                  <a:bodyPr/>
                  <a:lstStyle/>
                  <a:p>
                    <a:fld id="{C11FBA56-8DF5-4D80-98FD-231F36D7F5A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57A-4B20-85CD-3DF23E978DDF}"/>
                </c:ext>
              </c:extLst>
            </c:dLbl>
            <c:dLbl>
              <c:idx val="2"/>
              <c:layout>
                <c:manualLayout>
                  <c:x val="-3.5947297152056452E-17"/>
                  <c:y val="-0.17291197809871511"/>
                </c:manualLayout>
              </c:layout>
              <c:tx>
                <c:rich>
                  <a:bodyPr/>
                  <a:lstStyle/>
                  <a:p>
                    <a:fld id="{633F6F53-645B-454C-8FBB-2F09FA9D978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57A-4B20-85CD-3DF23E978DDF}"/>
                </c:ext>
              </c:extLst>
            </c:dLbl>
            <c:dLbl>
              <c:idx val="3"/>
              <c:layout>
                <c:manualLayout>
                  <c:x val="0"/>
                  <c:y val="-0.20173261687384347"/>
                </c:manualLayout>
              </c:layout>
              <c:tx>
                <c:rich>
                  <a:bodyPr/>
                  <a:lstStyle/>
                  <a:p>
                    <a:fld id="{73DA8459-83E1-4C15-B124-6940713A16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57A-4B20-85CD-3DF23E978DDF}"/>
                </c:ext>
              </c:extLst>
            </c:dLbl>
            <c:dLbl>
              <c:idx val="4"/>
              <c:layout>
                <c:manualLayout>
                  <c:x val="-1.9607843137254902E-3"/>
                  <c:y val="-0.19834554907877164"/>
                </c:manualLayout>
              </c:layout>
              <c:tx>
                <c:rich>
                  <a:bodyPr/>
                  <a:lstStyle/>
                  <a:p>
                    <a:fld id="{E72BDCCA-6E3D-4932-A4D2-6456BBD2228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57A-4B20-85CD-3DF23E978DDF}"/>
                </c:ext>
              </c:extLst>
            </c:dLbl>
            <c:dLbl>
              <c:idx val="5"/>
              <c:layout>
                <c:manualLayout>
                  <c:x val="-5.8823529411764705E-3"/>
                  <c:y val="-0.21430659205707966"/>
                </c:manualLayout>
              </c:layout>
              <c:tx>
                <c:rich>
                  <a:bodyPr/>
                  <a:lstStyle/>
                  <a:p>
                    <a:fld id="{5B2C9CD5-FA68-41BC-B08D-AC5176108E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57A-4B20-85CD-3DF23E978DDF}"/>
                </c:ext>
              </c:extLst>
            </c:dLbl>
            <c:dLbl>
              <c:idx val="6"/>
              <c:layout>
                <c:manualLayout>
                  <c:x val="-1.9607843137254902E-3"/>
                  <c:y val="-0.21031420119768021"/>
                </c:manualLayout>
              </c:layout>
              <c:tx>
                <c:rich>
                  <a:bodyPr/>
                  <a:lstStyle/>
                  <a:p>
                    <a:fld id="{BC972F35-CBC1-4CC9-B9F9-9D219F1692A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57A-4B20-85CD-3DF23E978DDF}"/>
                </c:ext>
              </c:extLst>
            </c:dLbl>
            <c:dLbl>
              <c:idx val="7"/>
              <c:layout>
                <c:manualLayout>
                  <c:x val="-1.4378918860822581E-16"/>
                  <c:y val="-0.23703732516851062"/>
                </c:manualLayout>
              </c:layout>
              <c:tx>
                <c:rich>
                  <a:bodyPr/>
                  <a:lstStyle/>
                  <a:p>
                    <a:fld id="{2CD0F747-CA04-470B-AA40-A8F02E470E6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57A-4B20-85CD-3DF23E978DDF}"/>
                </c:ext>
              </c:extLst>
            </c:dLbl>
            <c:dLbl>
              <c:idx val="8"/>
              <c:layout>
                <c:manualLayout>
                  <c:x val="0"/>
                  <c:y val="-0.23382400065200037"/>
                </c:manualLayout>
              </c:layout>
              <c:tx>
                <c:rich>
                  <a:bodyPr/>
                  <a:lstStyle/>
                  <a:p>
                    <a:fld id="{91635D2F-0870-4517-A7CD-E0A4FFED34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57A-4B20-85CD-3DF23E978DDF}"/>
                </c:ext>
              </c:extLst>
            </c:dLbl>
            <c:dLbl>
              <c:idx val="9"/>
              <c:layout>
                <c:manualLayout>
                  <c:x val="0"/>
                  <c:y val="-0.23109856504351917"/>
                </c:manualLayout>
              </c:layout>
              <c:tx>
                <c:rich>
                  <a:bodyPr/>
                  <a:lstStyle/>
                  <a:p>
                    <a:fld id="{0B13EFD4-8DCF-4121-B048-6B093AAC8DD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57A-4B20-85CD-3DF23E978DDF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'Fig 3.3'!$A$6:$A$15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3.3'!$C$6:$C$15</c:f>
              <c:numCache>
                <c:formatCode>_(* #,##0_);_(* \(#,##0\);_(* "-"??_);_(@_)</c:formatCode>
                <c:ptCount val="10"/>
                <c:pt idx="0">
                  <c:v>76019794226</c:v>
                </c:pt>
                <c:pt idx="1">
                  <c:v>92093443332</c:v>
                </c:pt>
                <c:pt idx="2">
                  <c:v>105458573201</c:v>
                </c:pt>
                <c:pt idx="3">
                  <c:v>115039217850</c:v>
                </c:pt>
                <c:pt idx="4">
                  <c:v>120157838541</c:v>
                </c:pt>
                <c:pt idx="5">
                  <c:v>130228192384</c:v>
                </c:pt>
                <c:pt idx="6">
                  <c:v>131300589271</c:v>
                </c:pt>
                <c:pt idx="7">
                  <c:v>126534846080</c:v>
                </c:pt>
                <c:pt idx="8">
                  <c:v>129067597919</c:v>
                </c:pt>
                <c:pt idx="9">
                  <c:v>141248284432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3.3'!$E$6:$E$15</c15:f>
                <c15:dlblRangeCache>
                  <c:ptCount val="10"/>
                  <c:pt idx="0">
                    <c:v> 132,9 </c:v>
                  </c:pt>
                  <c:pt idx="1">
                    <c:v> 162,4 </c:v>
                  </c:pt>
                  <c:pt idx="2">
                    <c:v> 186,9 </c:v>
                  </c:pt>
                  <c:pt idx="3">
                    <c:v> 202,1 </c:v>
                  </c:pt>
                  <c:pt idx="4">
                    <c:v> 208,4 </c:v>
                  </c:pt>
                  <c:pt idx="5">
                    <c:v> 223,6 </c:v>
                  </c:pt>
                  <c:pt idx="6">
                    <c:v> 225,7 </c:v>
                  </c:pt>
                  <c:pt idx="7">
                    <c:v> 215,6 </c:v>
                  </c:pt>
                  <c:pt idx="8">
                    <c:v> 221,0 </c:v>
                  </c:pt>
                  <c:pt idx="9">
                    <c:v> 237,2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57A-4B20-85CD-3DF23E978D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3296448"/>
        <c:axId val="393296056"/>
      </c:barChart>
      <c:catAx>
        <c:axId val="3932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3296056"/>
        <c:crosses val="autoZero"/>
        <c:auto val="1"/>
        <c:lblAlgn val="ctr"/>
        <c:lblOffset val="100"/>
        <c:noMultiLvlLbl val="0"/>
      </c:catAx>
      <c:valAx>
        <c:axId val="39329605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Bilhões de RPK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393296448"/>
        <c:crosses val="autoZero"/>
        <c:crossBetween val="between"/>
        <c:dispUnits>
          <c:builtInUnit val="b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.39667454068241503"/>
          <c:y val="0.91993888888888942"/>
          <c:w val="0.34978786475220047"/>
          <c:h val="8.006102895674724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3.4'!$B$6:$B$15</c:f>
              <c:numCache>
                <c:formatCode>0.0%</c:formatCode>
                <c:ptCount val="10"/>
                <c:pt idx="0">
                  <c:v>3.4954532574839145E-2</c:v>
                </c:pt>
                <c:pt idx="1">
                  <c:v>0.22192694112941516</c:v>
                </c:pt>
                <c:pt idx="2">
                  <c:v>0.15118073972468168</c:v>
                </c:pt>
                <c:pt idx="3">
                  <c:v>8.1136022218211215E-2</c:v>
                </c:pt>
                <c:pt idx="4">
                  <c:v>3.12469796632859E-2</c:v>
                </c:pt>
                <c:pt idx="5">
                  <c:v>7.2768743480830872E-2</c:v>
                </c:pt>
                <c:pt idx="6">
                  <c:v>9.4299312175008115E-3</c:v>
                </c:pt>
                <c:pt idx="7">
                  <c:v>-4.4811194778167925E-2</c:v>
                </c:pt>
                <c:pt idx="8">
                  <c:v>2.5144581510063293E-2</c:v>
                </c:pt>
                <c:pt idx="9">
                  <c:v>7.334521994352626E-2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17-4187-A8AB-F8C5F8214D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96840"/>
        <c:axId val="393297232"/>
      </c:barChart>
      <c:catAx>
        <c:axId val="39329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3297232"/>
        <c:crosses val="autoZero"/>
        <c:auto val="1"/>
        <c:lblAlgn val="ctr"/>
        <c:lblOffset val="100"/>
        <c:noMultiLvlLbl val="0"/>
      </c:catAx>
      <c:valAx>
        <c:axId val="39329723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2968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76600861809802E-2"/>
          <c:y val="5.1067780872794802E-2"/>
          <c:w val="0.94147710191401945"/>
          <c:h val="0.75912493876984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3.5'!$B$5</c:f>
              <c:strCache>
                <c:ptCount val="1"/>
                <c:pt idx="0">
                  <c:v>Doméstica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numRef>
              <c:f>'Fig 3.5'!$A$6:$A$15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3.5'!$B$6:$B$15</c:f>
              <c:numCache>
                <c:formatCode>_(* #,##0_);_(* \(#,##0\);_(* "-"??_);_(@_)</c:formatCode>
                <c:ptCount val="10"/>
                <c:pt idx="0">
                  <c:v>394.12151399999999</c:v>
                </c:pt>
                <c:pt idx="1">
                  <c:v>480.540211</c:v>
                </c:pt>
                <c:pt idx="2">
                  <c:v>524.88046299999996</c:v>
                </c:pt>
                <c:pt idx="3">
                  <c:v>511.67656199999999</c:v>
                </c:pt>
                <c:pt idx="4">
                  <c:v>521.84858099999997</c:v>
                </c:pt>
                <c:pt idx="5">
                  <c:v>514.86143400000003</c:v>
                </c:pt>
                <c:pt idx="6">
                  <c:v>455.77887700000002</c:v>
                </c:pt>
                <c:pt idx="7">
                  <c:v>418.56154199999997</c:v>
                </c:pt>
                <c:pt idx="8">
                  <c:v>426.27095100000003</c:v>
                </c:pt>
                <c:pt idx="9">
                  <c:v>470.93427200000002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271-9E31-2C638EE5968A}"/>
            </c:ext>
          </c:extLst>
        </c:ser>
        <c:ser>
          <c:idx val="1"/>
          <c:order val="1"/>
          <c:tx>
            <c:strRef>
              <c:f>'Fig 3.5'!$C$5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9.1858510610025004E-18"/>
                  <c:y val="-0.19498607242339833"/>
                </c:manualLayout>
              </c:layout>
              <c:tx>
                <c:rich>
                  <a:bodyPr/>
                  <a:lstStyle/>
                  <a:p>
                    <a:fld id="{1FE549E9-0FC5-4F18-9E2F-CBC7009B2A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E7-4271-9E31-2C638EE5968A}"/>
                </c:ext>
              </c:extLst>
            </c:dLbl>
            <c:dLbl>
              <c:idx val="1"/>
              <c:layout>
                <c:manualLayout>
                  <c:x val="-1.8371702122005001E-17"/>
                  <c:y val="-0.22748375116063144"/>
                </c:manualLayout>
              </c:layout>
              <c:tx>
                <c:rich>
                  <a:bodyPr/>
                  <a:lstStyle/>
                  <a:p>
                    <a:fld id="{172588C2-B688-452F-B965-46DCF12CE0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3E7-4271-9E31-2C638EE5968A}"/>
                </c:ext>
              </c:extLst>
            </c:dLbl>
            <c:dLbl>
              <c:idx val="2"/>
              <c:layout>
                <c:manualLayout>
                  <c:x val="0"/>
                  <c:y val="-0.18570102135561745"/>
                </c:manualLayout>
              </c:layout>
              <c:tx>
                <c:rich>
                  <a:bodyPr/>
                  <a:lstStyle/>
                  <a:p>
                    <a:fld id="{98F3C3D4-9F03-4208-9F66-F1A44B1CE5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3E7-4271-9E31-2C638EE5968A}"/>
                </c:ext>
              </c:extLst>
            </c:dLbl>
            <c:dLbl>
              <c:idx val="3"/>
              <c:layout>
                <c:manualLayout>
                  <c:x val="-7.3486808488020003E-17"/>
                  <c:y val="-0.2181987000928505"/>
                </c:manualLayout>
              </c:layout>
              <c:tx>
                <c:rich>
                  <a:bodyPr/>
                  <a:lstStyle/>
                  <a:p>
                    <a:fld id="{0FED988A-102F-47CF-85DC-EB4899D5AA5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3E7-4271-9E31-2C638EE5968A}"/>
                </c:ext>
              </c:extLst>
            </c:dLbl>
            <c:dLbl>
              <c:idx val="4"/>
              <c:layout>
                <c:manualLayout>
                  <c:x val="0"/>
                  <c:y val="-0.23676880222841226"/>
                </c:manualLayout>
              </c:layout>
              <c:tx>
                <c:rich>
                  <a:bodyPr/>
                  <a:lstStyle/>
                  <a:p>
                    <a:fld id="{86A0FB7E-2512-49BA-92F6-83449BB1326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3E7-4271-9E31-2C638EE5968A}"/>
                </c:ext>
              </c:extLst>
            </c:dLbl>
            <c:dLbl>
              <c:idx val="5"/>
              <c:layout>
                <c:manualLayout>
                  <c:x val="0"/>
                  <c:y val="-0.222841225626741"/>
                </c:manualLayout>
              </c:layout>
              <c:tx>
                <c:rich>
                  <a:bodyPr/>
                  <a:lstStyle/>
                  <a:p>
                    <a:fld id="{A1903B39-606A-469A-8794-F1EEBA01921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3E7-4271-9E31-2C638EE5968A}"/>
                </c:ext>
              </c:extLst>
            </c:dLbl>
            <c:dLbl>
              <c:idx val="6"/>
              <c:layout>
                <c:manualLayout>
                  <c:x val="-2.0042088385610517E-3"/>
                  <c:y val="-0.24605385329619314"/>
                </c:manualLayout>
              </c:layout>
              <c:tx>
                <c:rich>
                  <a:bodyPr/>
                  <a:lstStyle/>
                  <a:p>
                    <a:fld id="{8BE1A5A7-8F96-4D97-9D37-C0B90A3A1A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3E7-4271-9E31-2C638EE5968A}"/>
                </c:ext>
              </c:extLst>
            </c:dLbl>
            <c:dLbl>
              <c:idx val="7"/>
              <c:layout>
                <c:manualLayout>
                  <c:x val="-1.4697361697604001E-16"/>
                  <c:y val="-0.23676880222841226"/>
                </c:manualLayout>
              </c:layout>
              <c:tx>
                <c:rich>
                  <a:bodyPr/>
                  <a:lstStyle/>
                  <a:p>
                    <a:fld id="{A5FD10B2-B168-4A19-9D28-00E91321CF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3E7-4271-9E31-2C638EE5968A}"/>
                </c:ext>
              </c:extLst>
            </c:dLbl>
            <c:dLbl>
              <c:idx val="8"/>
              <c:layout>
                <c:manualLayout>
                  <c:x val="-2.004208838560978E-3"/>
                  <c:y val="-0.2414113277623027"/>
                </c:manualLayout>
              </c:layout>
              <c:tx>
                <c:rich>
                  <a:bodyPr/>
                  <a:lstStyle/>
                  <a:p>
                    <a:fld id="{BF1D1DAA-EE44-4739-ABC8-8A3F061036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3E7-4271-9E31-2C638EE5968A}"/>
                </c:ext>
              </c:extLst>
            </c:dLbl>
            <c:dLbl>
              <c:idx val="9"/>
              <c:layout>
                <c:manualLayout>
                  <c:x val="-1.4697361697604001E-16"/>
                  <c:y val="-0.23212627669452185"/>
                </c:manualLayout>
              </c:layout>
              <c:tx>
                <c:rich>
                  <a:bodyPr/>
                  <a:lstStyle/>
                  <a:p>
                    <a:fld id="{84D414E7-1D4E-44EF-A773-7E54BFDD2A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3E7-4271-9E31-2C638EE5968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'Fig 3.5'!$A$6:$A$15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3.5'!$C$6:$C$15</c:f>
              <c:numCache>
                <c:formatCode>_(* #,##0_);_(* \(#,##0\);_(* "-"??_);_(@_)</c:formatCode>
                <c:ptCount val="10"/>
                <c:pt idx="0">
                  <c:v>481.44048099999998</c:v>
                </c:pt>
                <c:pt idx="1">
                  <c:v>656.68753700000002</c:v>
                </c:pt>
                <c:pt idx="2">
                  <c:v>738.63283999999999</c:v>
                </c:pt>
                <c:pt idx="3">
                  <c:v>763.49218399999995</c:v>
                </c:pt>
                <c:pt idx="4">
                  <c:v>815.21484599999997</c:v>
                </c:pt>
                <c:pt idx="5">
                  <c:v>806.55863399999998</c:v>
                </c:pt>
                <c:pt idx="6">
                  <c:v>763.32006699999999</c:v>
                </c:pt>
                <c:pt idx="7">
                  <c:v>727.90648399999998</c:v>
                </c:pt>
                <c:pt idx="8">
                  <c:v>817.75484900000004</c:v>
                </c:pt>
                <c:pt idx="9">
                  <c:v>932.83140100000003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3.5'!$D$6:$D$15</c15:f>
                <c15:dlblRangeCache>
                  <c:ptCount val="10"/>
                  <c:pt idx="0">
                    <c:v> 876 </c:v>
                  </c:pt>
                  <c:pt idx="1">
                    <c:v> 1.137 </c:v>
                  </c:pt>
                  <c:pt idx="2">
                    <c:v> 1.264 </c:v>
                  </c:pt>
                  <c:pt idx="3">
                    <c:v> 1.275 </c:v>
                  </c:pt>
                  <c:pt idx="4">
                    <c:v> 1.337 </c:v>
                  </c:pt>
                  <c:pt idx="5">
                    <c:v> 1.321 </c:v>
                  </c:pt>
                  <c:pt idx="6">
                    <c:v> 1.219 </c:v>
                  </c:pt>
                  <c:pt idx="7">
                    <c:v> 1.146 </c:v>
                  </c:pt>
                  <c:pt idx="8">
                    <c:v> 1.244 </c:v>
                  </c:pt>
                  <c:pt idx="9">
                    <c:v> 1.404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3E7-4271-9E31-2C638EE596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3295272"/>
        <c:axId val="393297624"/>
      </c:barChart>
      <c:catAx>
        <c:axId val="39329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297624"/>
        <c:crosses val="autoZero"/>
        <c:auto val="1"/>
        <c:lblAlgn val="ctr"/>
        <c:lblOffset val="100"/>
        <c:noMultiLvlLbl val="0"/>
      </c:catAx>
      <c:valAx>
        <c:axId val="39329762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Milhares de Toneladas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93295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3.6'!$A$6:$A$15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3.6'!$B$6:$B$15</c:f>
              <c:numCache>
                <c:formatCode>0.0%</c:formatCode>
                <c:ptCount val="10"/>
                <c:pt idx="0">
                  <c:v>-0.13695537212371278</c:v>
                </c:pt>
                <c:pt idx="1">
                  <c:v>0.29885462650762956</c:v>
                </c:pt>
                <c:pt idx="2">
                  <c:v>0.11104684635253906</c:v>
                </c:pt>
                <c:pt idx="3">
                  <c:v>9.2246302214041669E-3</c:v>
                </c:pt>
                <c:pt idx="4">
                  <c:v>4.8538423792265688E-2</c:v>
                </c:pt>
                <c:pt idx="5">
                  <c:v>-1.1699788270403421E-2</c:v>
                </c:pt>
                <c:pt idx="6">
                  <c:v>-7.7432700227464679E-2</c:v>
                </c:pt>
                <c:pt idx="7">
                  <c:v>-5.9577541558431535E-2</c:v>
                </c:pt>
                <c:pt idx="8">
                  <c:v>8.5094195204358888E-2</c:v>
                </c:pt>
                <c:pt idx="9">
                  <c:v>0.12840559496434881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8C-4BF1-8A4A-A2DFE6B29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99976"/>
        <c:axId val="393301544"/>
      </c:barChart>
      <c:catAx>
        <c:axId val="39329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3301544"/>
        <c:crosses val="autoZero"/>
        <c:auto val="1"/>
        <c:lblAlgn val="ctr"/>
        <c:lblOffset val="100"/>
        <c:noMultiLvlLbl val="0"/>
      </c:catAx>
      <c:valAx>
        <c:axId val="39330154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299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49636419249116E-2"/>
          <c:y val="5.0278240740740728E-2"/>
          <c:w val="0.92058148014684882"/>
          <c:h val="0.772937268518536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3.7'!$A$6:$A$15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3.7'!$B$6:$B$15</c:f>
              <c:numCache>
                <c:formatCode>_(* #,##0_);_(* \(#,##0\);_(* "-"??_);_(@_)</c:formatCode>
                <c:ptCount val="10"/>
                <c:pt idx="0">
                  <c:v>57123672</c:v>
                </c:pt>
                <c:pt idx="1">
                  <c:v>70148029</c:v>
                </c:pt>
                <c:pt idx="2">
                  <c:v>82072795</c:v>
                </c:pt>
                <c:pt idx="3">
                  <c:v>88688896</c:v>
                </c:pt>
                <c:pt idx="4">
                  <c:v>90239471</c:v>
                </c:pt>
                <c:pt idx="5">
                  <c:v>95913262</c:v>
                </c:pt>
                <c:pt idx="6">
                  <c:v>96180343</c:v>
                </c:pt>
                <c:pt idx="7">
                  <c:v>88680274</c:v>
                </c:pt>
                <c:pt idx="8">
                  <c:v>90626532</c:v>
                </c:pt>
                <c:pt idx="9">
                  <c:v>93648950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A-41D0-A387-2C08501F8A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98800"/>
        <c:axId val="393290568"/>
      </c:barChart>
      <c:catAx>
        <c:axId val="3932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3290568"/>
        <c:crosses val="autoZero"/>
        <c:auto val="1"/>
        <c:lblAlgn val="ctr"/>
        <c:lblOffset val="100"/>
        <c:noMultiLvlLbl val="0"/>
      </c:catAx>
      <c:valAx>
        <c:axId val="39329056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passageiros pagos transportados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393298800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7809423450322134E-2"/>
          <c:y val="4.1666666666666664E-2"/>
          <c:w val="0.90905963892060004"/>
          <c:h val="0.81677493438321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3.8'!$A$6:$A$15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3.8'!$B$6:$B$15</c:f>
              <c:numCache>
                <c:formatCode>0.00%</c:formatCode>
                <c:ptCount val="10"/>
                <c:pt idx="0">
                  <c:v>0.13970925754929539</c:v>
                </c:pt>
                <c:pt idx="1">
                  <c:v>0.2280027971591182</c:v>
                </c:pt>
                <c:pt idx="2">
                  <c:v>0.1699943130262434</c:v>
                </c:pt>
                <c:pt idx="3">
                  <c:v>8.0612595196739675E-2</c:v>
                </c:pt>
                <c:pt idx="4">
                  <c:v>1.7483304787106607E-2</c:v>
                </c:pt>
                <c:pt idx="5">
                  <c:v>6.2874825584915056E-2</c:v>
                </c:pt>
                <c:pt idx="6">
                  <c:v>2.7846097028792535E-3</c:v>
                </c:pt>
                <c:pt idx="7">
                  <c:v>-7.797922908218366E-2</c:v>
                </c:pt>
                <c:pt idx="8">
                  <c:v>2.1946910087354939E-2</c:v>
                </c:pt>
                <c:pt idx="9">
                  <c:v>3.3350255530025137E-2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0C-4B5D-A57C-EDEA70134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301936"/>
        <c:axId val="393290960"/>
      </c:barChart>
      <c:catAx>
        <c:axId val="39330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3290960"/>
        <c:crosses val="autoZero"/>
        <c:auto val="1"/>
        <c:lblAlgn val="ctr"/>
        <c:lblOffset val="100"/>
        <c:noMultiLvlLbl val="0"/>
      </c:catAx>
      <c:valAx>
        <c:axId val="3932909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3019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3.9'!$A$6:$A$17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3.9'!$B$6:$B$17</c:f>
              <c:numCache>
                <c:formatCode>0.0%</c:formatCode>
                <c:ptCount val="12"/>
                <c:pt idx="0">
                  <c:v>2.199507920607691E-2</c:v>
                </c:pt>
                <c:pt idx="1">
                  <c:v>3.9021219998790886E-2</c:v>
                </c:pt>
                <c:pt idx="2">
                  <c:v>5.6693422063541672E-3</c:v>
                </c:pt>
                <c:pt idx="3">
                  <c:v>5.6754636053078684E-2</c:v>
                </c:pt>
                <c:pt idx="4">
                  <c:v>2.8686374563902429E-2</c:v>
                </c:pt>
                <c:pt idx="5">
                  <c:v>3.5027488402517584E-2</c:v>
                </c:pt>
                <c:pt idx="6">
                  <c:v>6.5799570657696219E-2</c:v>
                </c:pt>
                <c:pt idx="7">
                  <c:v>4.2320891440166465E-2</c:v>
                </c:pt>
                <c:pt idx="8">
                  <c:v>1.219847420377145E-2</c:v>
                </c:pt>
                <c:pt idx="9">
                  <c:v>2.1314243805137498E-2</c:v>
                </c:pt>
                <c:pt idx="10">
                  <c:v>4.0155995435401375E-2</c:v>
                </c:pt>
                <c:pt idx="11">
                  <c:v>3.2110416035775677E-2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007-4200-BB44-3E29EB9F66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89784"/>
        <c:axId val="393292136"/>
      </c:barChart>
      <c:catAx>
        <c:axId val="39328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3292136"/>
        <c:crosses val="autoZero"/>
        <c:auto val="1"/>
        <c:lblAlgn val="ctr"/>
        <c:lblOffset val="100"/>
        <c:noMultiLvlLbl val="0"/>
      </c:catAx>
      <c:valAx>
        <c:axId val="39329213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2897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1.6'!$A$6</c:f>
              <c:strCache>
                <c:ptCount val="1"/>
                <c:pt idx="0">
                  <c:v> Airbus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1.6'!$B$5:$F$5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 1.6'!$B$6:$F$6</c:f>
              <c:numCache>
                <c:formatCode>_(* #,##0_);_(* \(#,##0\);_(* "-"??_);_(@_)</c:formatCode>
                <c:ptCount val="5"/>
                <c:pt idx="0">
                  <c:v>183</c:v>
                </c:pt>
                <c:pt idx="1">
                  <c:v>195</c:v>
                </c:pt>
                <c:pt idx="2">
                  <c:v>195</c:v>
                </c:pt>
                <c:pt idx="3">
                  <c:v>189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E5C-B2E3-5D41C3AF269D}"/>
            </c:ext>
          </c:extLst>
        </c:ser>
        <c:ser>
          <c:idx val="1"/>
          <c:order val="1"/>
          <c:tx>
            <c:strRef>
              <c:f>'Fig 1.6'!$A$7</c:f>
              <c:strCache>
                <c:ptCount val="1"/>
                <c:pt idx="0">
                  <c:v> ATR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1.6'!$B$5:$F$5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 1.6'!$B$7:$F$7</c:f>
              <c:numCache>
                <c:formatCode>_(* #,##0_);_(* \(#,##0\);_(* "-"??_);_(@_)</c:formatCode>
                <c:ptCount val="5"/>
                <c:pt idx="0">
                  <c:v>76</c:v>
                </c:pt>
                <c:pt idx="1">
                  <c:v>78</c:v>
                </c:pt>
                <c:pt idx="2">
                  <c:v>56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6-4E5C-B2E3-5D41C3AF269D}"/>
            </c:ext>
          </c:extLst>
        </c:ser>
        <c:ser>
          <c:idx val="2"/>
          <c:order val="2"/>
          <c:tx>
            <c:strRef>
              <c:f>'Fig 1.6'!$A$8</c:f>
              <c:strCache>
                <c:ptCount val="1"/>
                <c:pt idx="0">
                  <c:v> Boeing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1.6'!$B$5:$F$5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 1.6'!$B$8:$F$8</c:f>
              <c:numCache>
                <c:formatCode>_(* #,##0_);_(* \(#,##0\);_(* "-"??_);_(@_)</c:formatCode>
                <c:ptCount val="5"/>
                <c:pt idx="0">
                  <c:v>184</c:v>
                </c:pt>
                <c:pt idx="1">
                  <c:v>186</c:v>
                </c:pt>
                <c:pt idx="2">
                  <c:v>171</c:v>
                </c:pt>
                <c:pt idx="3">
                  <c:v>166</c:v>
                </c:pt>
                <c:pt idx="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6-4E5C-B2E3-5D41C3AF269D}"/>
            </c:ext>
          </c:extLst>
        </c:ser>
        <c:ser>
          <c:idx val="3"/>
          <c:order val="3"/>
          <c:tx>
            <c:strRef>
              <c:f>'Fig 1.6'!$A$9</c:f>
              <c:strCache>
                <c:ptCount val="1"/>
                <c:pt idx="0">
                  <c:v> EMBRAER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1.6'!$B$5:$F$5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 1.6'!$B$9:$F$9</c:f>
              <c:numCache>
                <c:formatCode>_(* #,##0_);_(* \(#,##0\);_(* "-"??_);_(@_)</c:formatCode>
                <c:ptCount val="5"/>
                <c:pt idx="0">
                  <c:v>89</c:v>
                </c:pt>
                <c:pt idx="1">
                  <c:v>91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6-4E5C-B2E3-5D41C3AF269D}"/>
            </c:ext>
          </c:extLst>
        </c:ser>
        <c:ser>
          <c:idx val="4"/>
          <c:order val="4"/>
          <c:tx>
            <c:strRef>
              <c:f>'Fig 1.6'!$A$10</c:f>
              <c:strCache>
                <c:ptCount val="1"/>
                <c:pt idx="0">
                  <c:v> Fokker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1.6'!$B$5:$F$5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 1.6'!$B$10:$F$10</c:f>
              <c:numCache>
                <c:formatCode>_(* #,##0_);_(* \(#,##0\);_(* "-"??_);_(@_)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6-4E5C-B2E3-5D41C3AF2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208600"/>
        <c:axId val="132208992"/>
      </c:barChart>
      <c:catAx>
        <c:axId val="13220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08992"/>
        <c:crosses val="autoZero"/>
        <c:auto val="1"/>
        <c:lblAlgn val="ctr"/>
        <c:lblOffset val="100"/>
        <c:noMultiLvlLbl val="0"/>
      </c:catAx>
      <c:valAx>
        <c:axId val="13220899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3220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251768505418521E-3"/>
          <c:y val="7.7980127118520134E-2"/>
          <c:w val="0.85358175505050504"/>
          <c:h val="0.9220198728814892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86C7-4F3F-A730-B3E8B4C4710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86C7-4F3F-A730-B3E8B4C47105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86C7-4F3F-A730-B3E8B4C4710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86C7-4F3F-A730-B3E8B4C47105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86C7-4F3F-A730-B3E8B4C47105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86C7-4F3F-A730-B3E8B4C47105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86C7-4F3F-A730-B3E8B4C47105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86C7-4F3F-A730-B3E8B4C4710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3.10'!$A$6:$A$10</c:f>
              <c:strCache>
                <c:ptCount val="5"/>
                <c:pt idx="0">
                  <c:v> Gol </c:v>
                </c:pt>
                <c:pt idx="1">
                  <c:v> Latam </c:v>
                </c:pt>
                <c:pt idx="2">
                  <c:v> Azul </c:v>
                </c:pt>
                <c:pt idx="3">
                  <c:v> Avianca </c:v>
                </c:pt>
                <c:pt idx="4">
                  <c:v> Outras </c:v>
                </c:pt>
              </c:strCache>
            </c:strRef>
          </c:cat>
          <c:val>
            <c:numRef>
              <c:f>'Fig 3.10'!$B$6:$B$10</c:f>
              <c:numCache>
                <c:formatCode>_(* #,##0_);_(* \(#,##0\);_(* "-"??_);_(@_)</c:formatCode>
                <c:ptCount val="5"/>
                <c:pt idx="0">
                  <c:v>31549950</c:v>
                </c:pt>
                <c:pt idx="1">
                  <c:v>28501830</c:v>
                </c:pt>
                <c:pt idx="2">
                  <c:v>21320269</c:v>
                </c:pt>
                <c:pt idx="3">
                  <c:v>11604479</c:v>
                </c:pt>
                <c:pt idx="4">
                  <c:v>672422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C7-4F3F-A730-B3E8B4C471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2EC-4B3F-9FD0-C5F8EBD194C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2-22EC-4B3F-9FD0-C5F8EBD19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4-22EC-4B3F-9FD0-C5F8EBD194C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6-22EC-4B3F-9FD0-C5F8EBD194C8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8-22EC-4B3F-9FD0-C5F8EBD194C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22EC-4B3F-9FD0-C5F8EBD194C8}"/>
              </c:ext>
            </c:extLst>
          </c:dPt>
          <c:dPt>
            <c:idx val="6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C-22EC-4B3F-9FD0-C5F8EBD194C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3.11'!$A$6:$A$10</c15:sqref>
                  </c15:fullRef>
                </c:ext>
              </c:extLst>
              <c:f>'Fig 3.11'!$A$6:$A$9</c:f>
              <c:strCache>
                <c:ptCount val="4"/>
                <c:pt idx="0">
                  <c:v> Avianca </c:v>
                </c:pt>
                <c:pt idx="1">
                  <c:v> Gol </c:v>
                </c:pt>
                <c:pt idx="2">
                  <c:v> Azul </c:v>
                </c:pt>
                <c:pt idx="3">
                  <c:v> Latam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3.11'!$B$6:$B$10</c15:sqref>
                  </c15:fullRef>
                </c:ext>
              </c:extLst>
              <c:f>'Fig 3.11'!$B$6:$B$9</c:f>
              <c:numCache>
                <c:formatCode>0%</c:formatCode>
                <c:ptCount val="4"/>
                <c:pt idx="0">
                  <c:v>8.9877257687478007E-2</c:v>
                </c:pt>
                <c:pt idx="1">
                  <c:v>3.7433009835669662E-2</c:v>
                </c:pt>
                <c:pt idx="2">
                  <c:v>3.0876389084781408E-2</c:v>
                </c:pt>
                <c:pt idx="3">
                  <c:v>1.4631542591604152E-2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3.11'!$B$10</c15:sqref>
                  <c15:spPr xmlns:c15="http://schemas.microsoft.com/office/drawing/2012/chart">
                    <a:solidFill>
                      <a:srgbClr val="B4B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22EC-4B3F-9FD0-C5F8EBD194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294096"/>
        <c:axId val="393294488"/>
      </c:barChart>
      <c:catAx>
        <c:axId val="39329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3294488"/>
        <c:crosses val="autoZero"/>
        <c:auto val="1"/>
        <c:lblAlgn val="ctr"/>
        <c:lblOffset val="100"/>
        <c:noMultiLvlLbl val="0"/>
      </c:catAx>
      <c:valAx>
        <c:axId val="39329448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32940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6-4C56-B83D-74BA14991F7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6-4C56-B83D-74BA14991F7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6-4C56-B83D-74BA14991F7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6-4C56-B83D-74BA14991F7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76-4C56-B83D-74BA14991F7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3.12'!$A$6:$A$9</c:f>
              <c:strCache>
                <c:ptCount val="4"/>
                <c:pt idx="0">
                  <c:v> Gol </c:v>
                </c:pt>
                <c:pt idx="1">
                  <c:v> Avianca </c:v>
                </c:pt>
                <c:pt idx="2">
                  <c:v> Azul </c:v>
                </c:pt>
                <c:pt idx="3">
                  <c:v> Latam </c:v>
                </c:pt>
              </c:strCache>
            </c:strRef>
          </c:cat>
          <c:val>
            <c:numRef>
              <c:f>'Fig 3.12'!$B$6:$B$9</c:f>
              <c:numCache>
                <c:formatCode>#,##0</c:formatCode>
                <c:ptCount val="4"/>
                <c:pt idx="0">
                  <c:v>1138396</c:v>
                </c:pt>
                <c:pt idx="1">
                  <c:v>956969</c:v>
                </c:pt>
                <c:pt idx="2">
                  <c:v>638576</c:v>
                </c:pt>
                <c:pt idx="3">
                  <c:v>411012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6-4C56-B83D-74BA14991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3304288"/>
        <c:axId val="393304680"/>
      </c:barChart>
      <c:catAx>
        <c:axId val="3933042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93304680"/>
        <c:crosses val="autoZero"/>
        <c:auto val="1"/>
        <c:lblAlgn val="ctr"/>
        <c:lblOffset val="100"/>
        <c:noMultiLvlLbl val="0"/>
      </c:catAx>
      <c:valAx>
        <c:axId val="393304680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93304288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Milhares de passageiros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6"/>
        <c:spPr>
          <a:solidFill>
            <a:srgbClr val="FFFF00"/>
          </a:solidFill>
        </c:spPr>
      </c:pivotFmt>
      <c:pivotFmt>
        <c:idx val="7"/>
        <c:spPr>
          <a:solidFill>
            <a:schemeClr val="bg2">
              <a:lumMod val="75000"/>
            </a:schemeClr>
          </a:solidFill>
        </c:spPr>
      </c:pivotFmt>
      <c:pivotFmt>
        <c:idx val="8"/>
        <c:spPr>
          <a:solidFill>
            <a:schemeClr val="accent6">
              <a:lumMod val="75000"/>
            </a:schemeClr>
          </a:solidFill>
        </c:spPr>
      </c:pivotFmt>
      <c:pivotFmt>
        <c:idx val="9"/>
        <c:spPr>
          <a:solidFill>
            <a:srgbClr val="00B050"/>
          </a:solidFill>
        </c:spPr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1"/>
        <c:spPr>
          <a:solidFill>
            <a:srgbClr val="FFFF00"/>
          </a:solidFill>
        </c:spPr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2">
              <a:lumMod val="75000"/>
            </a:schemeClr>
          </a:solidFill>
        </c:spPr>
      </c:pivotFmt>
      <c:pivotFmt>
        <c:idx val="14"/>
        <c:spPr>
          <a:solidFill>
            <a:schemeClr val="accent6">
              <a:lumMod val="75000"/>
            </a:schemeClr>
          </a:solidFill>
        </c:spPr>
      </c:pivotFmt>
      <c:pivotFmt>
        <c:idx val="15"/>
        <c:spPr>
          <a:solidFill>
            <a:srgbClr val="00B050"/>
          </a:solidFill>
        </c:spPr>
      </c:pivotFmt>
      <c:pivotFmt>
        <c:idx val="16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7"/>
        <c:spPr>
          <a:solidFill>
            <a:srgbClr val="FFFF00"/>
          </a:solidFill>
        </c:spPr>
      </c:pivotFmt>
    </c:pivotFmts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819819819820023E-2"/>
          <c:y val="5.0925925925925923E-2"/>
          <c:w val="0.80810895935305382"/>
          <c:h val="0.9027777777777777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C22-4ADE-860B-B9BE1E054D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C22-4ADE-860B-B9BE1E054D1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BC22-4ADE-860B-B9BE1E054D15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C22-4ADE-860B-B9BE1E054D15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BC22-4ADE-860B-B9BE1E054D1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3.14'!$A$6:$A$10</c:f>
              <c:strCache>
                <c:ptCount val="5"/>
                <c:pt idx="0">
                  <c:v> Centro-Oeste </c:v>
                </c:pt>
                <c:pt idx="1">
                  <c:v> Nordeste </c:v>
                </c:pt>
                <c:pt idx="2">
                  <c:v> Norte </c:v>
                </c:pt>
                <c:pt idx="3">
                  <c:v> Sudeste </c:v>
                </c:pt>
                <c:pt idx="4">
                  <c:v> Sul </c:v>
                </c:pt>
              </c:strCache>
            </c:strRef>
          </c:cat>
          <c:val>
            <c:numRef>
              <c:f>'Fig 3.14'!$B$6:$B$10</c:f>
              <c:numCache>
                <c:formatCode>_(* #,##0_);_(* \(#,##0\);_(* "-"??_);_(@_)</c:formatCode>
                <c:ptCount val="5"/>
                <c:pt idx="0">
                  <c:v>12612809</c:v>
                </c:pt>
                <c:pt idx="1">
                  <c:v>17647990</c:v>
                </c:pt>
                <c:pt idx="2">
                  <c:v>5063818</c:v>
                </c:pt>
                <c:pt idx="3">
                  <c:v>46151135</c:v>
                </c:pt>
                <c:pt idx="4">
                  <c:v>12173198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22-4ADE-860B-B9BE1E054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3103765567984"/>
          <c:y val="1.6612550026429057E-2"/>
          <c:w val="0.79123564468619645"/>
          <c:h val="0.966774899947141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5BC7-466C-9672-B9DB56F4C97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BC7-466C-9672-B9DB56F4C97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4-5BC7-466C-9672-B9DB56F4C979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BC7-466C-9672-B9DB56F4C97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7-5BC7-466C-9672-B9DB56F4C979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BC7-466C-9672-B9DB56F4C979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A-5BC7-466C-9672-B9DB56F4C979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C-5BC7-466C-9672-B9DB56F4C979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E-5BC7-466C-9672-B9DB56F4C979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BC7-466C-9672-B9DB56F4C97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BC7-466C-9672-B9DB56F4C979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F-9928-47F8-AAC2-D518EEAA870E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2-5BC7-466C-9672-B9DB56F4C979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BC7-466C-9672-B9DB56F4C979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BC7-466C-9672-B9DB56F4C979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6-5BC7-466C-9672-B9DB56F4C979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5BC7-466C-9672-B9DB56F4C979}"/>
              </c:ext>
            </c:extLst>
          </c:dPt>
          <c:dPt>
            <c:idx val="37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A-5BC7-466C-9672-B9DB56F4C979}"/>
              </c:ext>
            </c:extLst>
          </c:dPt>
          <c:dPt>
            <c:idx val="39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C-5BC7-466C-9672-B9DB56F4C979}"/>
              </c:ext>
            </c:extLst>
          </c:dPt>
          <c:dPt>
            <c:idx val="48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0-9928-47F8-AAC2-D518EEAA870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3.15'!$A$6:$A$54</c:f>
              <c:strCache>
                <c:ptCount val="49"/>
                <c:pt idx="0">
                  <c:v> SBVT-ES </c:v>
                </c:pt>
                <c:pt idx="1">
                  <c:v> ES Total </c:v>
                </c:pt>
                <c:pt idx="2">
                  <c:v> SNXB-MG </c:v>
                </c:pt>
                <c:pt idx="3">
                  <c:v> SNGX-MG </c:v>
                </c:pt>
                <c:pt idx="4">
                  <c:v> SNNU-MG </c:v>
                </c:pt>
                <c:pt idx="5">
                  <c:v> SNUH-MG </c:v>
                </c:pt>
                <c:pt idx="6">
                  <c:v> SNZR-MG </c:v>
                </c:pt>
                <c:pt idx="7">
                  <c:v> SNPJ-MG </c:v>
                </c:pt>
                <c:pt idx="8">
                  <c:v> SNOS-MG </c:v>
                </c:pt>
                <c:pt idx="9">
                  <c:v> SNAR-MG </c:v>
                </c:pt>
                <c:pt idx="10">
                  <c:v> SBPC-MG </c:v>
                </c:pt>
                <c:pt idx="11">
                  <c:v> SNZA-MG </c:v>
                </c:pt>
                <c:pt idx="12">
                  <c:v> SNDT-MG </c:v>
                </c:pt>
                <c:pt idx="13">
                  <c:v> SNUI-MG </c:v>
                </c:pt>
                <c:pt idx="14">
                  <c:v> SNVC-MG </c:v>
                </c:pt>
                <c:pt idx="15">
                  <c:v> SBAX-MG </c:v>
                </c:pt>
                <c:pt idx="16">
                  <c:v> SNPD-MG </c:v>
                </c:pt>
                <c:pt idx="17">
                  <c:v> SNJM-MG </c:v>
                </c:pt>
                <c:pt idx="18">
                  <c:v> SNCT-MG </c:v>
                </c:pt>
                <c:pt idx="19">
                  <c:v> SNDV-MG </c:v>
                </c:pt>
                <c:pt idx="20">
                  <c:v> SNTO-MG </c:v>
                </c:pt>
                <c:pt idx="21">
                  <c:v> SBVG-MG </c:v>
                </c:pt>
                <c:pt idx="22">
                  <c:v> SBBH-MG </c:v>
                </c:pt>
                <c:pt idx="23">
                  <c:v> SBGV-MG </c:v>
                </c:pt>
                <c:pt idx="24">
                  <c:v> SBUR-MG </c:v>
                </c:pt>
                <c:pt idx="25">
                  <c:v> SBIP-MG </c:v>
                </c:pt>
                <c:pt idx="26">
                  <c:v> SBZM-MG </c:v>
                </c:pt>
                <c:pt idx="27">
                  <c:v> SBMK-MG </c:v>
                </c:pt>
                <c:pt idx="28">
                  <c:v> SBUL-MG </c:v>
                </c:pt>
                <c:pt idx="29">
                  <c:v> SBCF-MG </c:v>
                </c:pt>
                <c:pt idx="30">
                  <c:v> MG Total </c:v>
                </c:pt>
                <c:pt idx="31">
                  <c:v> SBCP-RJ </c:v>
                </c:pt>
                <c:pt idx="32">
                  <c:v> SBCB-RJ </c:v>
                </c:pt>
                <c:pt idx="33">
                  <c:v> SBRJ-RJ </c:v>
                </c:pt>
                <c:pt idx="34">
                  <c:v> SBGL-RJ </c:v>
                </c:pt>
                <c:pt idx="35">
                  <c:v> RJ Total </c:v>
                </c:pt>
                <c:pt idx="36">
                  <c:v> SBGP-SP </c:v>
                </c:pt>
                <c:pt idx="37">
                  <c:v> SNBA-SP </c:v>
                </c:pt>
                <c:pt idx="38">
                  <c:v> SBSJ-SP </c:v>
                </c:pt>
                <c:pt idx="39">
                  <c:v> SBML-SP </c:v>
                </c:pt>
                <c:pt idx="40">
                  <c:v> SBAU-SP </c:v>
                </c:pt>
                <c:pt idx="41">
                  <c:v> SBAE-SP </c:v>
                </c:pt>
                <c:pt idx="42">
                  <c:v> SBDN-SP </c:v>
                </c:pt>
                <c:pt idx="43">
                  <c:v> SBSR-SP </c:v>
                </c:pt>
                <c:pt idx="44">
                  <c:v> SBRP-SP </c:v>
                </c:pt>
                <c:pt idx="45">
                  <c:v> SBKP-SP </c:v>
                </c:pt>
                <c:pt idx="46">
                  <c:v> SBSP-SP </c:v>
                </c:pt>
                <c:pt idx="47">
                  <c:v> SBGR-SP </c:v>
                </c:pt>
                <c:pt idx="48">
                  <c:v> SP Total </c:v>
                </c:pt>
              </c:strCache>
            </c:strRef>
          </c:cat>
          <c:val>
            <c:numRef>
              <c:f>'Fig 3.15'!$B$6:$B$54</c:f>
              <c:numCache>
                <c:formatCode>_(* #,##0_);_(* \(#,##0\);_(* "-"??_);_(@_)</c:formatCode>
                <c:ptCount val="49"/>
                <c:pt idx="0">
                  <c:v>1517213</c:v>
                </c:pt>
                <c:pt idx="1">
                  <c:v>1517213</c:v>
                </c:pt>
                <c:pt idx="2">
                  <c:v>4</c:v>
                </c:pt>
                <c:pt idx="3">
                  <c:v>54</c:v>
                </c:pt>
                <c:pt idx="4">
                  <c:v>57</c:v>
                </c:pt>
                <c:pt idx="5">
                  <c:v>59</c:v>
                </c:pt>
                <c:pt idx="6">
                  <c:v>106</c:v>
                </c:pt>
                <c:pt idx="7">
                  <c:v>121</c:v>
                </c:pt>
                <c:pt idx="8">
                  <c:v>171</c:v>
                </c:pt>
                <c:pt idx="9">
                  <c:v>317</c:v>
                </c:pt>
                <c:pt idx="10">
                  <c:v>350</c:v>
                </c:pt>
                <c:pt idx="11">
                  <c:v>350</c:v>
                </c:pt>
                <c:pt idx="12">
                  <c:v>406</c:v>
                </c:pt>
                <c:pt idx="13">
                  <c:v>440</c:v>
                </c:pt>
                <c:pt idx="14">
                  <c:v>747</c:v>
                </c:pt>
                <c:pt idx="15">
                  <c:v>770</c:v>
                </c:pt>
                <c:pt idx="16">
                  <c:v>778</c:v>
                </c:pt>
                <c:pt idx="17">
                  <c:v>892</c:v>
                </c:pt>
                <c:pt idx="18">
                  <c:v>1126</c:v>
                </c:pt>
                <c:pt idx="19">
                  <c:v>1321</c:v>
                </c:pt>
                <c:pt idx="20">
                  <c:v>1734</c:v>
                </c:pt>
                <c:pt idx="21">
                  <c:v>4290</c:v>
                </c:pt>
                <c:pt idx="22">
                  <c:v>18437</c:v>
                </c:pt>
                <c:pt idx="23">
                  <c:v>21882</c:v>
                </c:pt>
                <c:pt idx="24">
                  <c:v>30614</c:v>
                </c:pt>
                <c:pt idx="25">
                  <c:v>63721</c:v>
                </c:pt>
                <c:pt idx="26">
                  <c:v>72599</c:v>
                </c:pt>
                <c:pt idx="27">
                  <c:v>110561</c:v>
                </c:pt>
                <c:pt idx="28">
                  <c:v>544280</c:v>
                </c:pt>
                <c:pt idx="29">
                  <c:v>4841619</c:v>
                </c:pt>
                <c:pt idx="30">
                  <c:v>5717806</c:v>
                </c:pt>
                <c:pt idx="31">
                  <c:v>7651</c:v>
                </c:pt>
                <c:pt idx="32">
                  <c:v>15360</c:v>
                </c:pt>
                <c:pt idx="33">
                  <c:v>4498353</c:v>
                </c:pt>
                <c:pt idx="34">
                  <c:v>5188966</c:v>
                </c:pt>
                <c:pt idx="35">
                  <c:v>9710330</c:v>
                </c:pt>
                <c:pt idx="36">
                  <c:v>0</c:v>
                </c:pt>
                <c:pt idx="37">
                  <c:v>49</c:v>
                </c:pt>
                <c:pt idx="38">
                  <c:v>4347</c:v>
                </c:pt>
                <c:pt idx="39">
                  <c:v>29697</c:v>
                </c:pt>
                <c:pt idx="40">
                  <c:v>44455</c:v>
                </c:pt>
                <c:pt idx="41">
                  <c:v>67508</c:v>
                </c:pt>
                <c:pt idx="42">
                  <c:v>134535</c:v>
                </c:pt>
                <c:pt idx="43">
                  <c:v>368597</c:v>
                </c:pt>
                <c:pt idx="44">
                  <c:v>439288</c:v>
                </c:pt>
                <c:pt idx="45">
                  <c:v>4029273</c:v>
                </c:pt>
                <c:pt idx="46">
                  <c:v>10800879</c:v>
                </c:pt>
                <c:pt idx="47">
                  <c:v>13287158</c:v>
                </c:pt>
                <c:pt idx="48">
                  <c:v>29205786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BC7-466C-9672-B9DB56F4C9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301040"/>
        <c:axId val="394300648"/>
      </c:barChart>
      <c:catAx>
        <c:axId val="394301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300648"/>
        <c:crosses val="autoZero"/>
        <c:auto val="1"/>
        <c:lblAlgn val="ctr"/>
        <c:lblOffset val="100"/>
        <c:noMultiLvlLbl val="0"/>
      </c:catAx>
      <c:valAx>
        <c:axId val="394300648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394301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E0D-4DDD-AD78-93BD2BFD2CF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E0D-4DDD-AD78-93BD2BFD2C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E0D-4DDD-AD78-93BD2BFD2CF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E0D-4DDD-AD78-93BD2BFD2C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EE0D-4DDD-AD78-93BD2BFD2CF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E0D-4DDD-AD78-93BD2BFD2CF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E0D-4DDD-AD78-93BD2BFD2C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EE0D-4DDD-AD78-93BD2BFD2CF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E0D-4DDD-AD78-93BD2BFD2CF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E0D-4DDD-AD78-93BD2BFD2CF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EE0D-4DDD-AD78-93BD2BFD2CF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E0D-4DDD-AD78-93BD2BFD2C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EE0D-4DDD-AD78-93BD2BFD2CF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E0D-4DDD-AD78-93BD2BFD2CF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E0D-4DDD-AD78-93BD2BFD2CF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EE0D-4DDD-AD78-93BD2BFD2CF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E0D-4DDD-AD78-93BD2BFD2CF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E0D-4DDD-AD78-93BD2BFD2CF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E0D-4DDD-AD78-93BD2BFD2CF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B-EE0D-4DDD-AD78-93BD2BFD2CF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E0D-4DDD-AD78-93BD2BFD2CF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E0D-4DDD-AD78-93BD2BFD2CFF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E0D-4DDD-AD78-93BD2BFD2CF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EE0D-4DDD-AD78-93BD2BFD2CF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EE0D-4DDD-AD78-93BD2BFD2CFF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EE0D-4DDD-AD78-93BD2BFD2CF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EE0D-4DDD-AD78-93BD2BFD2CFF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EE0D-4DDD-AD78-93BD2BFD2CFF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EE0D-4DDD-AD78-93BD2BFD2CFF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EE0D-4DDD-AD78-93BD2BFD2CFF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E0D-4DDD-AD78-93BD2BFD2CFF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EE0D-4DDD-AD78-93BD2BFD2CFF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EE0D-4DDD-AD78-93BD2BFD2CF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E-F877-4188-9071-6048B611E960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EE0D-4DDD-AD78-93BD2BFD2CFF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EE0D-4DDD-AD78-93BD2BFD2CF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3.16'!$A$6:$A$42</c:f>
              <c:strCache>
                <c:ptCount val="37"/>
                <c:pt idx="0">
                  <c:v> SBPB-PI </c:v>
                </c:pt>
                <c:pt idx="1">
                  <c:v> SBTE-PI </c:v>
                </c:pt>
                <c:pt idx="2">
                  <c:v> PI Total </c:v>
                </c:pt>
                <c:pt idx="3">
                  <c:v> SBAR-SE </c:v>
                </c:pt>
                <c:pt idx="4">
                  <c:v> SE Total </c:v>
                </c:pt>
                <c:pt idx="5">
                  <c:v> SBKG-PB </c:v>
                </c:pt>
                <c:pt idx="6">
                  <c:v> SBJP-PB </c:v>
                </c:pt>
                <c:pt idx="7">
                  <c:v> PB Total </c:v>
                </c:pt>
                <c:pt idx="8">
                  <c:v> SBIZ-MA </c:v>
                </c:pt>
                <c:pt idx="9">
                  <c:v> SBSL-MA </c:v>
                </c:pt>
                <c:pt idx="10">
                  <c:v> MA Total </c:v>
                </c:pt>
                <c:pt idx="11">
                  <c:v> SBMO-AL </c:v>
                </c:pt>
                <c:pt idx="12">
                  <c:v> AL Total </c:v>
                </c:pt>
                <c:pt idx="13">
                  <c:v> SBMS-RN </c:v>
                </c:pt>
                <c:pt idx="14">
                  <c:v> SBSG-RN </c:v>
                </c:pt>
                <c:pt idx="15">
                  <c:v> RN Total </c:v>
                </c:pt>
                <c:pt idx="16">
                  <c:v> SBJE-CE </c:v>
                </c:pt>
                <c:pt idx="17">
                  <c:v> SBJU-CE </c:v>
                </c:pt>
                <c:pt idx="18">
                  <c:v> SBFZ-CE </c:v>
                </c:pt>
                <c:pt idx="19">
                  <c:v> CE Total </c:v>
                </c:pt>
                <c:pt idx="20">
                  <c:v> SNHS-PE </c:v>
                </c:pt>
                <c:pt idx="21">
                  <c:v> SBFN-PE </c:v>
                </c:pt>
                <c:pt idx="22">
                  <c:v> SBPL-PE </c:v>
                </c:pt>
                <c:pt idx="23">
                  <c:v> SBRF-PE </c:v>
                </c:pt>
                <c:pt idx="24">
                  <c:v> PE Total </c:v>
                </c:pt>
                <c:pt idx="25">
                  <c:v> SBFE-BA </c:v>
                </c:pt>
                <c:pt idx="26">
                  <c:v> SNVB-BA </c:v>
                </c:pt>
                <c:pt idx="27">
                  <c:v> SBLE-BA </c:v>
                </c:pt>
                <c:pt idx="28">
                  <c:v> SBUF-BA </c:v>
                </c:pt>
                <c:pt idx="29">
                  <c:v> SBTC-BA </c:v>
                </c:pt>
                <c:pt idx="30">
                  <c:v> SNTF-BA </c:v>
                </c:pt>
                <c:pt idx="31">
                  <c:v> SNBR-BA </c:v>
                </c:pt>
                <c:pt idx="32">
                  <c:v> SBQV-BA </c:v>
                </c:pt>
                <c:pt idx="33">
                  <c:v> SBIL-BA </c:v>
                </c:pt>
                <c:pt idx="34">
                  <c:v> SBPS-BA </c:v>
                </c:pt>
                <c:pt idx="35">
                  <c:v> SBSV-BA </c:v>
                </c:pt>
                <c:pt idx="36">
                  <c:v> BA Total </c:v>
                </c:pt>
              </c:strCache>
            </c:strRef>
          </c:cat>
          <c:val>
            <c:numRef>
              <c:f>'Fig 3.16'!$B$6:$B$42</c:f>
              <c:numCache>
                <c:formatCode>_(* #,##0_);_(* \(#,##0\);_(* "-"??_);_(@_)</c:formatCode>
                <c:ptCount val="37"/>
                <c:pt idx="0">
                  <c:v>3313</c:v>
                </c:pt>
                <c:pt idx="1">
                  <c:v>530364</c:v>
                </c:pt>
                <c:pt idx="2">
                  <c:v>533677</c:v>
                </c:pt>
                <c:pt idx="3">
                  <c:v>591478</c:v>
                </c:pt>
                <c:pt idx="4">
                  <c:v>591478</c:v>
                </c:pt>
                <c:pt idx="5">
                  <c:v>75932</c:v>
                </c:pt>
                <c:pt idx="6">
                  <c:v>700556</c:v>
                </c:pt>
                <c:pt idx="7">
                  <c:v>776488</c:v>
                </c:pt>
                <c:pt idx="8">
                  <c:v>141114</c:v>
                </c:pt>
                <c:pt idx="9">
                  <c:v>788158</c:v>
                </c:pt>
                <c:pt idx="10">
                  <c:v>929272</c:v>
                </c:pt>
                <c:pt idx="11">
                  <c:v>1068564</c:v>
                </c:pt>
                <c:pt idx="12">
                  <c:v>1068564</c:v>
                </c:pt>
                <c:pt idx="13">
                  <c:v>7904</c:v>
                </c:pt>
                <c:pt idx="14">
                  <c:v>1150895</c:v>
                </c:pt>
                <c:pt idx="15">
                  <c:v>1158799</c:v>
                </c:pt>
                <c:pt idx="16">
                  <c:v>43761</c:v>
                </c:pt>
                <c:pt idx="17">
                  <c:v>278570</c:v>
                </c:pt>
                <c:pt idx="18">
                  <c:v>3060173</c:v>
                </c:pt>
                <c:pt idx="19">
                  <c:v>3382504</c:v>
                </c:pt>
                <c:pt idx="20">
                  <c:v>49</c:v>
                </c:pt>
                <c:pt idx="21">
                  <c:v>126539</c:v>
                </c:pt>
                <c:pt idx="22">
                  <c:v>237279</c:v>
                </c:pt>
                <c:pt idx="23">
                  <c:v>3879805</c:v>
                </c:pt>
                <c:pt idx="24">
                  <c:v>4243672</c:v>
                </c:pt>
                <c:pt idx="25">
                  <c:v>1208</c:v>
                </c:pt>
                <c:pt idx="26">
                  <c:v>4522</c:v>
                </c:pt>
                <c:pt idx="27">
                  <c:v>5026</c:v>
                </c:pt>
                <c:pt idx="28">
                  <c:v>5773</c:v>
                </c:pt>
                <c:pt idx="29">
                  <c:v>8311</c:v>
                </c:pt>
                <c:pt idx="30">
                  <c:v>15480</c:v>
                </c:pt>
                <c:pt idx="31">
                  <c:v>36857</c:v>
                </c:pt>
                <c:pt idx="32">
                  <c:v>100952</c:v>
                </c:pt>
                <c:pt idx="33">
                  <c:v>288021</c:v>
                </c:pt>
                <c:pt idx="34">
                  <c:v>837434</c:v>
                </c:pt>
                <c:pt idx="35">
                  <c:v>3659952</c:v>
                </c:pt>
                <c:pt idx="36">
                  <c:v>4963536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E0D-4DDD-AD78-93BD2BFD2C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301824"/>
        <c:axId val="394303392"/>
      </c:barChart>
      <c:catAx>
        <c:axId val="3943018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303392"/>
        <c:crosses val="autoZero"/>
        <c:auto val="1"/>
        <c:lblAlgn val="ctr"/>
        <c:lblOffset val="100"/>
        <c:noMultiLvlLbl val="0"/>
      </c:catAx>
      <c:valAx>
        <c:axId val="394303392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39430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385-47E9-A10C-4B0A5B61608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85-47E9-A10C-4B0A5B61608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385-47E9-A10C-4B0A5B6160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6385-47E9-A10C-4B0A5B61608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385-47E9-A10C-4B0A5B616084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385-47E9-A10C-4B0A5B616084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6385-47E9-A10C-4B0A5B616084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385-47E9-A10C-4B0A5B616084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3183-4FD7-A8A4-2C345F1A8633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385-47E9-A10C-4B0A5B616084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385-47E9-A10C-4B0A5B616084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385-47E9-A10C-4B0A5B616084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385-47E9-A10C-4B0A5B616084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385-47E9-A10C-4B0A5B61608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3.17'!$A$6:$A$25</c:f>
              <c:strCache>
                <c:ptCount val="20"/>
                <c:pt idx="0">
                  <c:v> SSBH-MS </c:v>
                </c:pt>
                <c:pt idx="1">
                  <c:v> SBDB-MS </c:v>
                </c:pt>
                <c:pt idx="2">
                  <c:v> SBCR-MS </c:v>
                </c:pt>
                <c:pt idx="3">
                  <c:v> SBTG-MS </c:v>
                </c:pt>
                <c:pt idx="4">
                  <c:v> SBDO-MS </c:v>
                </c:pt>
                <c:pt idx="5">
                  <c:v> SBCG-MS </c:v>
                </c:pt>
                <c:pt idx="6">
                  <c:v> MS Total </c:v>
                </c:pt>
                <c:pt idx="7">
                  <c:v> SWLC-GO </c:v>
                </c:pt>
                <c:pt idx="8">
                  <c:v> SBCN-GO </c:v>
                </c:pt>
                <c:pt idx="9">
                  <c:v> SBGO-GO </c:v>
                </c:pt>
                <c:pt idx="10">
                  <c:v> GO Total </c:v>
                </c:pt>
                <c:pt idx="11">
                  <c:v> SBBW-MT </c:v>
                </c:pt>
                <c:pt idx="12">
                  <c:v> SBSO-MT </c:v>
                </c:pt>
                <c:pt idx="13">
                  <c:v> SBRD-MT </c:v>
                </c:pt>
                <c:pt idx="14">
                  <c:v> SBAT-MT </c:v>
                </c:pt>
                <c:pt idx="15">
                  <c:v> SWSI-MT </c:v>
                </c:pt>
                <c:pt idx="16">
                  <c:v> SBCY-MT </c:v>
                </c:pt>
                <c:pt idx="17">
                  <c:v> MT Total </c:v>
                </c:pt>
                <c:pt idx="18">
                  <c:v> SBBR-DF </c:v>
                </c:pt>
                <c:pt idx="19">
                  <c:v> DF Total </c:v>
                </c:pt>
              </c:strCache>
            </c:strRef>
          </c:cat>
          <c:val>
            <c:numRef>
              <c:f>'Fig 3.17'!$B$6:$B$25</c:f>
              <c:numCache>
                <c:formatCode>_(* #,##0_);_(* \(#,##0\);_(* "-"??_);_(@_)</c:formatCode>
                <c:ptCount val="20"/>
                <c:pt idx="0">
                  <c:v>9</c:v>
                </c:pt>
                <c:pt idx="1">
                  <c:v>7404</c:v>
                </c:pt>
                <c:pt idx="2">
                  <c:v>14071</c:v>
                </c:pt>
                <c:pt idx="3">
                  <c:v>18009</c:v>
                </c:pt>
                <c:pt idx="4">
                  <c:v>30500</c:v>
                </c:pt>
                <c:pt idx="5">
                  <c:v>775384</c:v>
                </c:pt>
                <c:pt idx="6">
                  <c:v>845377</c:v>
                </c:pt>
                <c:pt idx="7">
                  <c:v>15888</c:v>
                </c:pt>
                <c:pt idx="8">
                  <c:v>67748</c:v>
                </c:pt>
                <c:pt idx="9">
                  <c:v>1536586</c:v>
                </c:pt>
                <c:pt idx="10">
                  <c:v>1620222</c:v>
                </c:pt>
                <c:pt idx="11">
                  <c:v>7868</c:v>
                </c:pt>
                <c:pt idx="12">
                  <c:v>21736</c:v>
                </c:pt>
                <c:pt idx="13">
                  <c:v>21891</c:v>
                </c:pt>
                <c:pt idx="14">
                  <c:v>30887</c:v>
                </c:pt>
                <c:pt idx="15">
                  <c:v>64362</c:v>
                </c:pt>
                <c:pt idx="16">
                  <c:v>1490947</c:v>
                </c:pt>
                <c:pt idx="17">
                  <c:v>1637691</c:v>
                </c:pt>
                <c:pt idx="18">
                  <c:v>8509519</c:v>
                </c:pt>
                <c:pt idx="19">
                  <c:v>8509519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85-47E9-A10C-4B0A5B616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302608"/>
        <c:axId val="394303000"/>
      </c:barChart>
      <c:catAx>
        <c:axId val="3943026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303000"/>
        <c:crosses val="autoZero"/>
        <c:auto val="1"/>
        <c:lblAlgn val="ctr"/>
        <c:lblOffset val="100"/>
        <c:noMultiLvlLbl val="0"/>
      </c:catAx>
      <c:valAx>
        <c:axId val="39430300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394302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0EA00"/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C40-42B2-97B9-9BD3C66D858B}"/>
              </c:ext>
            </c:extLst>
          </c:dPt>
          <c:dPt>
            <c:idx val="6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2-3C40-42B2-97B9-9BD3C66D858B}"/>
              </c:ext>
            </c:extLst>
          </c:dPt>
          <c:dPt>
            <c:idx val="7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4-3C40-42B2-97B9-9BD3C66D858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C40-42B2-97B9-9BD3C66D858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C40-42B2-97B9-9BD3C66D858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C40-42B2-97B9-9BD3C66D858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C40-42B2-97B9-9BD3C66D858B}"/>
              </c:ext>
            </c:extLst>
          </c:dPt>
          <c:dPt>
            <c:idx val="14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A-3C40-42B2-97B9-9BD3C66D858B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C40-42B2-97B9-9BD3C66D858B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C40-42B2-97B9-9BD3C66D858B}"/>
              </c:ext>
            </c:extLst>
          </c:dPt>
          <c:dPt>
            <c:idx val="21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D-3C40-42B2-97B9-9BD3C66D858B}"/>
              </c:ext>
            </c:extLst>
          </c:dPt>
          <c:dPt>
            <c:idx val="22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F-3C40-42B2-97B9-9BD3C66D858B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C40-42B2-97B9-9BD3C66D858B}"/>
              </c:ext>
            </c:extLst>
          </c:dPt>
          <c:dPt>
            <c:idx val="28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12-3C40-42B2-97B9-9BD3C66D858B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3.18'!$A$6:$A$28</c:f>
              <c:strCache>
                <c:ptCount val="23"/>
                <c:pt idx="0">
                  <c:v> SBLJ-SC </c:v>
                </c:pt>
                <c:pt idx="1">
                  <c:v> SBJA-SC </c:v>
                </c:pt>
                <c:pt idx="2">
                  <c:v> SBCH-SC </c:v>
                </c:pt>
                <c:pt idx="3">
                  <c:v> SBJV-SC </c:v>
                </c:pt>
                <c:pt idx="4">
                  <c:v> SBNF-SC </c:v>
                </c:pt>
                <c:pt idx="5">
                  <c:v> SBFL-SC </c:v>
                </c:pt>
                <c:pt idx="6">
                  <c:v> SC Total </c:v>
                </c:pt>
                <c:pt idx="7">
                  <c:v> SBUG-RS </c:v>
                </c:pt>
                <c:pt idx="8">
                  <c:v> SBNM-RS </c:v>
                </c:pt>
                <c:pt idx="9">
                  <c:v> SBPK-RS </c:v>
                </c:pt>
                <c:pt idx="10">
                  <c:v> SBSM-RS </c:v>
                </c:pt>
                <c:pt idx="11">
                  <c:v> SBPF-RS </c:v>
                </c:pt>
                <c:pt idx="12">
                  <c:v> SBCX-RS </c:v>
                </c:pt>
                <c:pt idx="13">
                  <c:v> SBPA-RS </c:v>
                </c:pt>
                <c:pt idx="14">
                  <c:v> RS Total </c:v>
                </c:pt>
                <c:pt idx="15">
                  <c:v> SSZW-PR </c:v>
                </c:pt>
                <c:pt idx="16">
                  <c:v> SBCA-PR </c:v>
                </c:pt>
                <c:pt idx="17">
                  <c:v> SBMG-PR </c:v>
                </c:pt>
                <c:pt idx="18">
                  <c:v> SBLO-PR </c:v>
                </c:pt>
                <c:pt idx="19">
                  <c:v> SBFI-PR </c:v>
                </c:pt>
                <c:pt idx="20">
                  <c:v> SBCT-PR </c:v>
                </c:pt>
                <c:pt idx="21">
                  <c:v> PR Total </c:v>
                </c:pt>
                <c:pt idx="22">
                  <c:v> Total Região Sul </c:v>
                </c:pt>
              </c:strCache>
            </c:strRef>
          </c:cat>
          <c:val>
            <c:numRef>
              <c:f>'Fig 3.18'!$B$6:$B$27</c:f>
              <c:numCache>
                <c:formatCode>_(* #,##0_);_(* \(#,##0\);_(* "-"??_);_(@_)</c:formatCode>
                <c:ptCount val="22"/>
                <c:pt idx="0">
                  <c:v>11510</c:v>
                </c:pt>
                <c:pt idx="1">
                  <c:v>66855</c:v>
                </c:pt>
                <c:pt idx="2">
                  <c:v>237155</c:v>
                </c:pt>
                <c:pt idx="3">
                  <c:v>239432</c:v>
                </c:pt>
                <c:pt idx="4">
                  <c:v>898399</c:v>
                </c:pt>
                <c:pt idx="5">
                  <c:v>1709151</c:v>
                </c:pt>
                <c:pt idx="6">
                  <c:v>3162502</c:v>
                </c:pt>
                <c:pt idx="7">
                  <c:v>10426</c:v>
                </c:pt>
                <c:pt idx="8">
                  <c:v>10954</c:v>
                </c:pt>
                <c:pt idx="9">
                  <c:v>14889</c:v>
                </c:pt>
                <c:pt idx="10">
                  <c:v>15835</c:v>
                </c:pt>
                <c:pt idx="11">
                  <c:v>59677</c:v>
                </c:pt>
                <c:pt idx="12">
                  <c:v>89052</c:v>
                </c:pt>
                <c:pt idx="13">
                  <c:v>3797970</c:v>
                </c:pt>
                <c:pt idx="14">
                  <c:v>3998803</c:v>
                </c:pt>
                <c:pt idx="15">
                  <c:v>7835</c:v>
                </c:pt>
                <c:pt idx="16">
                  <c:v>69482</c:v>
                </c:pt>
                <c:pt idx="17">
                  <c:v>311152</c:v>
                </c:pt>
                <c:pt idx="18">
                  <c:v>479868</c:v>
                </c:pt>
                <c:pt idx="19">
                  <c:v>1089776</c:v>
                </c:pt>
                <c:pt idx="20">
                  <c:v>3053780</c:v>
                </c:pt>
                <c:pt idx="21">
                  <c:v>5011893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40-42B2-97B9-9BD3C66D8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3592"/>
        <c:axId val="394293200"/>
      </c:barChart>
      <c:catAx>
        <c:axId val="394293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293200"/>
        <c:crosses val="autoZero"/>
        <c:auto val="1"/>
        <c:lblAlgn val="ctr"/>
        <c:lblOffset val="100"/>
        <c:noMultiLvlLbl val="0"/>
      </c:catAx>
      <c:valAx>
        <c:axId val="39429320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one"/>
        <c:crossAx val="394293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8ADA-4635-A639-D733A4CB0B6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ADA-4635-A639-D733A4CB0B6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ADA-4635-A639-D733A4CB0B6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ADA-4635-A639-D733A4CB0B6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8ADA-4635-A639-D733A4CB0B6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ADA-4635-A639-D733A4CB0B6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8ADA-4635-A639-D733A4CB0B6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8ADA-4635-A639-D733A4CB0B6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ADA-4635-A639-D733A4CB0B62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ADA-4635-A639-D733A4CB0B6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ADA-4635-A639-D733A4CB0B6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1-8ADA-4635-A639-D733A4CB0B62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ADA-4635-A639-D733A4CB0B62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ADA-4635-A639-D733A4CB0B62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5-8ADA-4635-A639-D733A4CB0B62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ADA-4635-A639-D733A4CB0B62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8ADA-4635-A639-D733A4CB0B62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8ADA-4635-A639-D733A4CB0B62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A-8ADA-4635-A639-D733A4CB0B62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ADA-4635-A639-D733A4CB0B62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ADA-4635-A639-D733A4CB0B62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E-8ADA-4635-A639-D733A4CB0B62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0-8ADA-4635-A639-D733A4CB0B62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2-8ADA-4635-A639-D733A4CB0B62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4-8ADA-4635-A639-D733A4CB0B6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3.19'!$A$6:$A$45</c:f>
              <c:strCache>
                <c:ptCount val="40"/>
                <c:pt idx="0">
                  <c:v> SBCZ-AC </c:v>
                </c:pt>
                <c:pt idx="1">
                  <c:v> SBRB-AC </c:v>
                </c:pt>
                <c:pt idx="2">
                  <c:v> AC Total </c:v>
                </c:pt>
                <c:pt idx="3">
                  <c:v> SBEG-AM </c:v>
                </c:pt>
                <c:pt idx="4">
                  <c:v> SBMN-AM </c:v>
                </c:pt>
                <c:pt idx="5">
                  <c:v> SBTF-AM </c:v>
                </c:pt>
                <c:pt idx="6">
                  <c:v> SBTT-AM </c:v>
                </c:pt>
                <c:pt idx="7">
                  <c:v> SBUA-AM </c:v>
                </c:pt>
                <c:pt idx="8">
                  <c:v> SBUY-AM </c:v>
                </c:pt>
                <c:pt idx="9">
                  <c:v> SWBC-AM </c:v>
                </c:pt>
                <c:pt idx="10">
                  <c:v> SWCA-AM </c:v>
                </c:pt>
                <c:pt idx="11">
                  <c:v> SWEI-AM </c:v>
                </c:pt>
                <c:pt idx="12">
                  <c:v> SWKO-AM </c:v>
                </c:pt>
                <c:pt idx="13">
                  <c:v> SWLB-AM </c:v>
                </c:pt>
                <c:pt idx="14">
                  <c:v> SWPI-AM </c:v>
                </c:pt>
                <c:pt idx="15">
                  <c:v> AM Total </c:v>
                </c:pt>
                <c:pt idx="16">
                  <c:v> SBMQ-AP </c:v>
                </c:pt>
                <c:pt idx="17">
                  <c:v> AP Total </c:v>
                </c:pt>
                <c:pt idx="18">
                  <c:v> SBBE-PA </c:v>
                </c:pt>
                <c:pt idx="19">
                  <c:v> SBCJ-PA </c:v>
                </c:pt>
                <c:pt idx="20">
                  <c:v> SBHT-PA </c:v>
                </c:pt>
                <c:pt idx="21">
                  <c:v> SBIH-PA </c:v>
                </c:pt>
                <c:pt idx="22">
                  <c:v> SBMA-PA </c:v>
                </c:pt>
                <c:pt idx="23">
                  <c:v> SBSN-PA </c:v>
                </c:pt>
                <c:pt idx="24">
                  <c:v> SBTB-PA </c:v>
                </c:pt>
                <c:pt idx="25">
                  <c:v> PA Total </c:v>
                </c:pt>
                <c:pt idx="26">
                  <c:v> SBJI-RO </c:v>
                </c:pt>
                <c:pt idx="27">
                  <c:v> SBPV-RO </c:v>
                </c:pt>
                <c:pt idx="28">
                  <c:v> SBVH-RO </c:v>
                </c:pt>
                <c:pt idx="29">
                  <c:v> SSKW-RO </c:v>
                </c:pt>
                <c:pt idx="30">
                  <c:v> RO Total </c:v>
                </c:pt>
                <c:pt idx="31">
                  <c:v> SBBV-RR </c:v>
                </c:pt>
                <c:pt idx="32">
                  <c:v> RR Total </c:v>
                </c:pt>
                <c:pt idx="33">
                  <c:v> SBPJ-TO </c:v>
                </c:pt>
                <c:pt idx="34">
                  <c:v> SWGN-TO </c:v>
                </c:pt>
                <c:pt idx="35">
                  <c:v> TO Total </c:v>
                </c:pt>
                <c:pt idx="36">
                  <c:v> Total Região Norte </c:v>
                </c:pt>
                <c:pt idx="37">
                  <c:v> SBSN-PA </c:v>
                </c:pt>
                <c:pt idx="38">
                  <c:v> SBBE-PA </c:v>
                </c:pt>
                <c:pt idx="39">
                  <c:v> Total PA </c:v>
                </c:pt>
              </c:strCache>
            </c:strRef>
          </c:cat>
          <c:val>
            <c:numRef>
              <c:f>'Fig 3.19'!$B$6:$B$45</c:f>
              <c:numCache>
                <c:formatCode>_(* #,##0_);_(* \(#,##0\);_(* "-"??_);_(@_)</c:formatCode>
                <c:ptCount val="40"/>
                <c:pt idx="0">
                  <c:v>35002</c:v>
                </c:pt>
                <c:pt idx="1">
                  <c:v>179090</c:v>
                </c:pt>
                <c:pt idx="2">
                  <c:v>214092</c:v>
                </c:pt>
                <c:pt idx="3">
                  <c:v>1336694</c:v>
                </c:pt>
                <c:pt idx="4">
                  <c:v>137</c:v>
                </c:pt>
                <c:pt idx="5">
                  <c:v>14354</c:v>
                </c:pt>
                <c:pt idx="6">
                  <c:v>26208</c:v>
                </c:pt>
                <c:pt idx="7">
                  <c:v>4973</c:v>
                </c:pt>
                <c:pt idx="8">
                  <c:v>31789</c:v>
                </c:pt>
                <c:pt idx="9">
                  <c:v>1645</c:v>
                </c:pt>
                <c:pt idx="10">
                  <c:v>9440</c:v>
                </c:pt>
                <c:pt idx="11">
                  <c:v>4709</c:v>
                </c:pt>
                <c:pt idx="12">
                  <c:v>2101</c:v>
                </c:pt>
                <c:pt idx="13">
                  <c:v>1379</c:v>
                </c:pt>
                <c:pt idx="14">
                  <c:v>17243</c:v>
                </c:pt>
                <c:pt idx="15">
                  <c:v>1450672</c:v>
                </c:pt>
                <c:pt idx="16">
                  <c:v>276433</c:v>
                </c:pt>
                <c:pt idx="17">
                  <c:v>276433</c:v>
                </c:pt>
                <c:pt idx="18">
                  <c:v>1648088</c:v>
                </c:pt>
                <c:pt idx="19">
                  <c:v>54154</c:v>
                </c:pt>
                <c:pt idx="20">
                  <c:v>48165</c:v>
                </c:pt>
                <c:pt idx="21">
                  <c:v>9433</c:v>
                </c:pt>
                <c:pt idx="22">
                  <c:v>134906</c:v>
                </c:pt>
                <c:pt idx="23">
                  <c:v>230444</c:v>
                </c:pt>
                <c:pt idx="24">
                  <c:v>5271</c:v>
                </c:pt>
                <c:pt idx="25">
                  <c:v>2130461</c:v>
                </c:pt>
                <c:pt idx="26">
                  <c:v>31756</c:v>
                </c:pt>
                <c:pt idx="27">
                  <c:v>400727</c:v>
                </c:pt>
                <c:pt idx="28">
                  <c:v>19458</c:v>
                </c:pt>
                <c:pt idx="29">
                  <c:v>29155</c:v>
                </c:pt>
                <c:pt idx="30">
                  <c:v>481096</c:v>
                </c:pt>
                <c:pt idx="31">
                  <c:v>164945</c:v>
                </c:pt>
                <c:pt idx="32">
                  <c:v>164945</c:v>
                </c:pt>
                <c:pt idx="33">
                  <c:v>329659</c:v>
                </c:pt>
                <c:pt idx="34">
                  <c:v>16460</c:v>
                </c:pt>
                <c:pt idx="35">
                  <c:v>346119</c:v>
                </c:pt>
                <c:pt idx="36">
                  <c:v>5063818</c:v>
                </c:pt>
                <c:pt idx="37">
                  <c:v>224607</c:v>
                </c:pt>
                <c:pt idx="38">
                  <c:v>1538368</c:v>
                </c:pt>
                <c:pt idx="39">
                  <c:v>2024375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DA-4635-A639-D733A4CB0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8688"/>
        <c:axId val="394291240"/>
      </c:barChart>
      <c:catAx>
        <c:axId val="3942986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291240"/>
        <c:crosses val="autoZero"/>
        <c:auto val="1"/>
        <c:lblAlgn val="ctr"/>
        <c:lblOffset val="100"/>
        <c:noMultiLvlLbl val="0"/>
      </c:catAx>
      <c:valAx>
        <c:axId val="39429124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394298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3.20'!$A$6:$A$26</c:f>
              <c:strCache>
                <c:ptCount val="21"/>
                <c:pt idx="0">
                  <c:v>São Paulo - Guarulhos</c:v>
                </c:pt>
                <c:pt idx="1">
                  <c:v>São Paulo - Congonhas</c:v>
                </c:pt>
                <c:pt idx="2">
                  <c:v>Brasília</c:v>
                </c:pt>
                <c:pt idx="3">
                  <c:v>Rio De Janeiro - Galeão</c:v>
                </c:pt>
                <c:pt idx="4">
                  <c:v>Belo Horizonte - Confins</c:v>
                </c:pt>
                <c:pt idx="5">
                  <c:v>Rio De Janeiro - Santos Dumont</c:v>
                </c:pt>
                <c:pt idx="6">
                  <c:v>Campinas</c:v>
                </c:pt>
                <c:pt idx="7">
                  <c:v>Recife</c:v>
                </c:pt>
                <c:pt idx="8">
                  <c:v>Porto Alegre</c:v>
                </c:pt>
                <c:pt idx="9">
                  <c:v>Salvador</c:v>
                </c:pt>
                <c:pt idx="10">
                  <c:v>Fortaleza</c:v>
                </c:pt>
                <c:pt idx="11">
                  <c:v>Curitiba</c:v>
                </c:pt>
                <c:pt idx="12">
                  <c:v>Florianópolis</c:v>
                </c:pt>
                <c:pt idx="13">
                  <c:v>Belém</c:v>
                </c:pt>
                <c:pt idx="14">
                  <c:v>Goiânia</c:v>
                </c:pt>
                <c:pt idx="15">
                  <c:v>Vitória</c:v>
                </c:pt>
                <c:pt idx="16">
                  <c:v>Cuiabá</c:v>
                </c:pt>
                <c:pt idx="17">
                  <c:v>Manaus</c:v>
                </c:pt>
                <c:pt idx="18">
                  <c:v>Natal</c:v>
                </c:pt>
                <c:pt idx="19">
                  <c:v>Foz Do Iguaçu</c:v>
                </c:pt>
                <c:pt idx="20">
                  <c:v>Outros</c:v>
                </c:pt>
              </c:strCache>
            </c:strRef>
          </c:cat>
          <c:val>
            <c:numRef>
              <c:f>'Fig 3.20'!$B$6:$B$26</c:f>
              <c:numCache>
                <c:formatCode>0.0%</c:formatCode>
                <c:ptCount val="21"/>
                <c:pt idx="0">
                  <c:v>0.14188261587556508</c:v>
                </c:pt>
                <c:pt idx="1">
                  <c:v>0.11533369034036153</c:v>
                </c:pt>
                <c:pt idx="2">
                  <c:v>9.0866144254687323E-2</c:v>
                </c:pt>
                <c:pt idx="3">
                  <c:v>5.5408693850811992E-2</c:v>
                </c:pt>
                <c:pt idx="4">
                  <c:v>5.1699661341638108E-2</c:v>
                </c:pt>
                <c:pt idx="5">
                  <c:v>4.8034206470013815E-2</c:v>
                </c:pt>
                <c:pt idx="6">
                  <c:v>4.3025287523245054E-2</c:v>
                </c:pt>
                <c:pt idx="7">
                  <c:v>4.1429241865498762E-2</c:v>
                </c:pt>
                <c:pt idx="8">
                  <c:v>4.0555393306598742E-2</c:v>
                </c:pt>
                <c:pt idx="9">
                  <c:v>3.9081612767681857E-2</c:v>
                </c:pt>
                <c:pt idx="10">
                  <c:v>3.2677066854460195E-2</c:v>
                </c:pt>
                <c:pt idx="11">
                  <c:v>3.2608801273265743E-2</c:v>
                </c:pt>
                <c:pt idx="12">
                  <c:v>1.8250615730341879E-2</c:v>
                </c:pt>
                <c:pt idx="13">
                  <c:v>1.7598574249898156E-2</c:v>
                </c:pt>
                <c:pt idx="14">
                  <c:v>1.6407936234202305E-2</c:v>
                </c:pt>
                <c:pt idx="15">
                  <c:v>1.6201067924413462E-2</c:v>
                </c:pt>
                <c:pt idx="16">
                  <c:v>1.5920594945271677E-2</c:v>
                </c:pt>
                <c:pt idx="17">
                  <c:v>1.427491712400406E-2</c:v>
                </c:pt>
                <c:pt idx="18">
                  <c:v>1.2289459732330154E-2</c:v>
                </c:pt>
                <c:pt idx="19">
                  <c:v>1.1636820274012683E-2</c:v>
                </c:pt>
                <c:pt idx="20">
                  <c:v>0.14481759806169736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54A-BFC0-CBEA1F42A2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6728"/>
        <c:axId val="394299080"/>
      </c:barChart>
      <c:catAx>
        <c:axId val="3942967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299080"/>
        <c:crosses val="autoZero"/>
        <c:auto val="1"/>
        <c:lblAlgn val="ctr"/>
        <c:lblOffset val="100"/>
        <c:noMultiLvlLbl val="0"/>
      </c:catAx>
      <c:valAx>
        <c:axId val="394299080"/>
        <c:scaling>
          <c:orientation val="minMax"/>
        </c:scaling>
        <c:delete val="1"/>
        <c:axPos val="t"/>
        <c:numFmt formatCode="0%" sourceLinked="0"/>
        <c:majorTickMark val="out"/>
        <c:minorTickMark val="none"/>
        <c:tickLblPos val="nextTo"/>
        <c:crossAx val="394296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1.7'!$A$6:$A$13</c:f>
              <c:strCache>
                <c:ptCount val="8"/>
                <c:pt idx="0">
                  <c:v>Nenhum (cargueiro)</c:v>
                </c:pt>
                <c:pt idx="1">
                  <c:v>Até 50</c:v>
                </c:pt>
                <c:pt idx="2">
                  <c:v>51 a 100</c:v>
                </c:pt>
                <c:pt idx="3">
                  <c:v>101 a 150</c:v>
                </c:pt>
                <c:pt idx="4">
                  <c:v>151 a 200</c:v>
                </c:pt>
                <c:pt idx="5">
                  <c:v>201 a 250</c:v>
                </c:pt>
                <c:pt idx="6">
                  <c:v>251 a 300</c:v>
                </c:pt>
                <c:pt idx="7">
                  <c:v>Acima de 300</c:v>
                </c:pt>
              </c:strCache>
            </c:strRef>
          </c:cat>
          <c:val>
            <c:numRef>
              <c:f>'Fig 1.7'!$B$6:$B$13</c:f>
              <c:numCache>
                <c:formatCode>_(* #,##0_);_(* \(#,##0\);_(* "-"??_);_(@_)</c:formatCode>
                <c:ptCount val="8"/>
                <c:pt idx="0">
                  <c:v>26</c:v>
                </c:pt>
                <c:pt idx="1">
                  <c:v>13</c:v>
                </c:pt>
                <c:pt idx="2">
                  <c:v>45</c:v>
                </c:pt>
                <c:pt idx="3">
                  <c:v>120</c:v>
                </c:pt>
                <c:pt idx="4">
                  <c:v>209</c:v>
                </c:pt>
                <c:pt idx="5">
                  <c:v>62</c:v>
                </c:pt>
                <c:pt idx="6">
                  <c:v>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697-838E-E0FCC7C5B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3.21'!$A$6:$A$25</c:f>
              <c:strCache>
                <c:ptCount val="20"/>
                <c:pt idx="0">
                  <c:v>São Paulo - Guarulhos</c:v>
                </c:pt>
                <c:pt idx="1">
                  <c:v>São Paulo - Congonhas</c:v>
                </c:pt>
                <c:pt idx="2">
                  <c:v>Brasília</c:v>
                </c:pt>
                <c:pt idx="3">
                  <c:v>Rio De Janeiro - Galeão</c:v>
                </c:pt>
                <c:pt idx="4">
                  <c:v>Belo Horizonte - Confins</c:v>
                </c:pt>
                <c:pt idx="5">
                  <c:v>Rio De Janeiro - Santos Dumont</c:v>
                </c:pt>
                <c:pt idx="6">
                  <c:v>Campinas</c:v>
                </c:pt>
                <c:pt idx="7">
                  <c:v>Recife</c:v>
                </c:pt>
                <c:pt idx="8">
                  <c:v>Porto Alegre</c:v>
                </c:pt>
                <c:pt idx="9">
                  <c:v>Salvador</c:v>
                </c:pt>
                <c:pt idx="10">
                  <c:v>Fortaleza</c:v>
                </c:pt>
                <c:pt idx="11">
                  <c:v>Curitiba</c:v>
                </c:pt>
                <c:pt idx="12">
                  <c:v>Florianópolis</c:v>
                </c:pt>
                <c:pt idx="13">
                  <c:v>Belém</c:v>
                </c:pt>
                <c:pt idx="14">
                  <c:v>Goiânia</c:v>
                </c:pt>
                <c:pt idx="15">
                  <c:v>Vitória</c:v>
                </c:pt>
                <c:pt idx="16">
                  <c:v>Cuiabá</c:v>
                </c:pt>
                <c:pt idx="17">
                  <c:v>Manaus</c:v>
                </c:pt>
                <c:pt idx="18">
                  <c:v>Natal</c:v>
                </c:pt>
                <c:pt idx="19">
                  <c:v>Foz Do Iguaçu</c:v>
                </c:pt>
              </c:strCache>
            </c:strRef>
          </c:cat>
          <c:val>
            <c:numRef>
              <c:f>'Fig 3.21'!$B$6:$B$25</c:f>
              <c:numCache>
                <c:formatCode>0.0%</c:formatCode>
                <c:ptCount val="20"/>
                <c:pt idx="0">
                  <c:v>0.14425236393767976</c:v>
                </c:pt>
                <c:pt idx="1">
                  <c:v>1.9800843438847381E-2</c:v>
                </c:pt>
                <c:pt idx="2">
                  <c:v>5.8016788977502634E-2</c:v>
                </c:pt>
                <c:pt idx="3">
                  <c:v>-0.11790967873104637</c:v>
                </c:pt>
                <c:pt idx="4">
                  <c:v>3.2685291160397048E-2</c:v>
                </c:pt>
                <c:pt idx="5">
                  <c:v>2.053179052717494E-3</c:v>
                </c:pt>
                <c:pt idx="6">
                  <c:v>-2.8846533923232737E-2</c:v>
                </c:pt>
                <c:pt idx="7">
                  <c:v>7.7976636182659542E-2</c:v>
                </c:pt>
                <c:pt idx="8">
                  <c:v>3.3902356161758268E-2</c:v>
                </c:pt>
                <c:pt idx="9">
                  <c:v>1.5422979156921529E-2</c:v>
                </c:pt>
                <c:pt idx="10">
                  <c:v>9.5574915187246798E-2</c:v>
                </c:pt>
                <c:pt idx="11">
                  <c:v>-5.7064957280791952E-2</c:v>
                </c:pt>
                <c:pt idx="12">
                  <c:v>-1.3591496744100684E-2</c:v>
                </c:pt>
                <c:pt idx="13">
                  <c:v>7.1367604431636686E-2</c:v>
                </c:pt>
                <c:pt idx="14">
                  <c:v>3.5488340373226658E-2</c:v>
                </c:pt>
                <c:pt idx="15">
                  <c:v>4.679055743948337E-2</c:v>
                </c:pt>
                <c:pt idx="16">
                  <c:v>4.8772098153363926E-2</c:v>
                </c:pt>
                <c:pt idx="17">
                  <c:v>8.1167355455449786E-2</c:v>
                </c:pt>
                <c:pt idx="18">
                  <c:v>4.2836474442096151E-3</c:v>
                </c:pt>
                <c:pt idx="19">
                  <c:v>5.5670454622510551E-2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1D-4775-8119-51A628E09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2416"/>
        <c:axId val="394289672"/>
      </c:barChart>
      <c:catAx>
        <c:axId val="3942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4289672"/>
        <c:crosses val="autoZero"/>
        <c:auto val="1"/>
        <c:lblAlgn val="ctr"/>
        <c:lblOffset val="100"/>
        <c:noMultiLvlLbl val="0"/>
      </c:catAx>
      <c:valAx>
        <c:axId val="39428967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292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3.22'!$C$27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;[Red]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3.22'!$A$6:$A$25</c:f>
              <c:strCache>
                <c:ptCount val="20"/>
                <c:pt idx="0">
                  <c:v>Rio De Janeiro - Santos Dumont / São Paulo - Congonhas</c:v>
                </c:pt>
                <c:pt idx="1">
                  <c:v>Porto Alegre / São Paulo - Guarulhos</c:v>
                </c:pt>
                <c:pt idx="2">
                  <c:v>Brasília / São Paulo - Congonhas</c:v>
                </c:pt>
                <c:pt idx="3">
                  <c:v>Recife / São Paulo - Guarulhos</c:v>
                </c:pt>
                <c:pt idx="4">
                  <c:v>Salvador / São Paulo - Guarulhos</c:v>
                </c:pt>
                <c:pt idx="5">
                  <c:v>Porto Alegre / São Paulo - Congonhas</c:v>
                </c:pt>
                <c:pt idx="6">
                  <c:v>Belo Horizonte - Confins / São Paulo - Congonhas</c:v>
                </c:pt>
                <c:pt idx="7">
                  <c:v>Fortaleza / São Paulo - Guarulhos</c:v>
                </c:pt>
                <c:pt idx="8">
                  <c:v>Belo Horizonte - Confins / São Paulo - Guarulhos</c:v>
                </c:pt>
                <c:pt idx="9">
                  <c:v>Curitiba / São Paulo - Guarulhos</c:v>
                </c:pt>
                <c:pt idx="10">
                  <c:v>Curitiba / São Paulo - Congonhas</c:v>
                </c:pt>
                <c:pt idx="11">
                  <c:v>Brasília / São Paulo - Guarulhos</c:v>
                </c:pt>
                <c:pt idx="12">
                  <c:v>Rio De Janeiro - Galeão / São Paulo - Guarulhos</c:v>
                </c:pt>
                <c:pt idx="13">
                  <c:v>Florianópolis / São Paulo - Guarulhos</c:v>
                </c:pt>
                <c:pt idx="14">
                  <c:v>Brasília / Rio De Janeiro - Santos Dumont</c:v>
                </c:pt>
                <c:pt idx="15">
                  <c:v>Salvador / São Paulo - Congonhas</c:v>
                </c:pt>
                <c:pt idx="16">
                  <c:v>Natal / São Paulo - Guarulhos</c:v>
                </c:pt>
                <c:pt idx="17">
                  <c:v>Rio De Janeiro - Galeão / Salvador</c:v>
                </c:pt>
                <c:pt idx="18">
                  <c:v>Belo Horizonte - Confins / Brasília</c:v>
                </c:pt>
                <c:pt idx="19">
                  <c:v>Goiânia / São Paulo - Guarulhos</c:v>
                </c:pt>
              </c:strCache>
            </c:strRef>
          </c:cat>
          <c:val>
            <c:numRef>
              <c:f>'Fig 3.22'!$C$6:$C$25</c:f>
              <c:numCache>
                <c:formatCode>_(* #,##0_);_(* \(#,##0\);_(* "-"??_);_(@_)</c:formatCode>
                <c:ptCount val="20"/>
                <c:pt idx="0">
                  <c:v>4225692</c:v>
                </c:pt>
                <c:pt idx="1">
                  <c:v>2212481</c:v>
                </c:pt>
                <c:pt idx="2">
                  <c:v>2085926</c:v>
                </c:pt>
                <c:pt idx="3">
                  <c:v>2014023</c:v>
                </c:pt>
                <c:pt idx="4">
                  <c:v>1998738</c:v>
                </c:pt>
                <c:pt idx="5">
                  <c:v>1813608</c:v>
                </c:pt>
                <c:pt idx="6">
                  <c:v>1774711</c:v>
                </c:pt>
                <c:pt idx="7">
                  <c:v>1750976</c:v>
                </c:pt>
                <c:pt idx="8">
                  <c:v>1651004</c:v>
                </c:pt>
                <c:pt idx="9">
                  <c:v>1633026</c:v>
                </c:pt>
                <c:pt idx="10">
                  <c:v>1461726</c:v>
                </c:pt>
                <c:pt idx="11">
                  <c:v>1414586</c:v>
                </c:pt>
                <c:pt idx="12">
                  <c:v>1278760</c:v>
                </c:pt>
                <c:pt idx="13">
                  <c:v>1238828</c:v>
                </c:pt>
                <c:pt idx="14">
                  <c:v>1163761</c:v>
                </c:pt>
                <c:pt idx="15">
                  <c:v>951289</c:v>
                </c:pt>
                <c:pt idx="16">
                  <c:v>904775</c:v>
                </c:pt>
                <c:pt idx="17">
                  <c:v>891191</c:v>
                </c:pt>
                <c:pt idx="18">
                  <c:v>885314</c:v>
                </c:pt>
                <c:pt idx="19">
                  <c:v>883142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2DF-A5CC-96F6F73F205D}"/>
            </c:ext>
          </c:extLst>
        </c:ser>
        <c:ser>
          <c:idx val="0"/>
          <c:order val="1"/>
          <c:tx>
            <c:strRef>
              <c:f>'Fig 3.22'!$B$27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3.22'!$A$6:$A$25</c:f>
              <c:strCache>
                <c:ptCount val="20"/>
                <c:pt idx="0">
                  <c:v>Rio De Janeiro - Santos Dumont / São Paulo - Congonhas</c:v>
                </c:pt>
                <c:pt idx="1">
                  <c:v>Porto Alegre / São Paulo - Guarulhos</c:v>
                </c:pt>
                <c:pt idx="2">
                  <c:v>Brasília / São Paulo - Congonhas</c:v>
                </c:pt>
                <c:pt idx="3">
                  <c:v>Recife / São Paulo - Guarulhos</c:v>
                </c:pt>
                <c:pt idx="4">
                  <c:v>Salvador / São Paulo - Guarulhos</c:v>
                </c:pt>
                <c:pt idx="5">
                  <c:v>Porto Alegre / São Paulo - Congonhas</c:v>
                </c:pt>
                <c:pt idx="6">
                  <c:v>Belo Horizonte - Confins / São Paulo - Congonhas</c:v>
                </c:pt>
                <c:pt idx="7">
                  <c:v>Fortaleza / São Paulo - Guarulhos</c:v>
                </c:pt>
                <c:pt idx="8">
                  <c:v>Belo Horizonte - Confins / São Paulo - Guarulhos</c:v>
                </c:pt>
                <c:pt idx="9">
                  <c:v>Curitiba / São Paulo - Guarulhos</c:v>
                </c:pt>
                <c:pt idx="10">
                  <c:v>Curitiba / São Paulo - Congonhas</c:v>
                </c:pt>
                <c:pt idx="11">
                  <c:v>Brasília / São Paulo - Guarulhos</c:v>
                </c:pt>
                <c:pt idx="12">
                  <c:v>Rio De Janeiro - Galeão / São Paulo - Guarulhos</c:v>
                </c:pt>
                <c:pt idx="13">
                  <c:v>Florianópolis / São Paulo - Guarulhos</c:v>
                </c:pt>
                <c:pt idx="14">
                  <c:v>Brasília / Rio De Janeiro - Santos Dumont</c:v>
                </c:pt>
                <c:pt idx="15">
                  <c:v>Salvador / São Paulo - Congonhas</c:v>
                </c:pt>
                <c:pt idx="16">
                  <c:v>Natal / São Paulo - Guarulhos</c:v>
                </c:pt>
                <c:pt idx="17">
                  <c:v>Rio De Janeiro - Galeão / Salvador</c:v>
                </c:pt>
                <c:pt idx="18">
                  <c:v>Belo Horizonte - Confins / Brasília</c:v>
                </c:pt>
                <c:pt idx="19">
                  <c:v>Goiânia / São Paulo - Guarulhos</c:v>
                </c:pt>
              </c:strCache>
            </c:strRef>
          </c:cat>
          <c:val>
            <c:numRef>
              <c:f>'Fig 3.22'!$B$6:$B$25</c:f>
              <c:numCache>
                <c:formatCode>_(* #,##0_);_(* \(#,##0\);_(* "-"??_);_(@_)</c:formatCode>
                <c:ptCount val="20"/>
                <c:pt idx="0">
                  <c:v>4093857</c:v>
                </c:pt>
                <c:pt idx="1">
                  <c:v>1888322</c:v>
                </c:pt>
                <c:pt idx="2">
                  <c:v>2042799</c:v>
                </c:pt>
                <c:pt idx="3">
                  <c:v>1806149</c:v>
                </c:pt>
                <c:pt idx="4">
                  <c:v>1794490</c:v>
                </c:pt>
                <c:pt idx="5">
                  <c:v>1737474</c:v>
                </c:pt>
                <c:pt idx="6">
                  <c:v>1810854</c:v>
                </c:pt>
                <c:pt idx="7">
                  <c:v>1496762</c:v>
                </c:pt>
                <c:pt idx="8">
                  <c:v>1311234</c:v>
                </c:pt>
                <c:pt idx="9">
                  <c:v>1544731</c:v>
                </c:pt>
                <c:pt idx="10">
                  <c:v>1505024</c:v>
                </c:pt>
                <c:pt idx="11">
                  <c:v>1074642</c:v>
                </c:pt>
                <c:pt idx="12">
                  <c:v>1241457</c:v>
                </c:pt>
                <c:pt idx="13">
                  <c:v>1183495</c:v>
                </c:pt>
                <c:pt idx="14">
                  <c:v>1151049</c:v>
                </c:pt>
                <c:pt idx="15">
                  <c:v>805590</c:v>
                </c:pt>
                <c:pt idx="16">
                  <c:v>807529</c:v>
                </c:pt>
                <c:pt idx="17">
                  <c:v>1127795</c:v>
                </c:pt>
                <c:pt idx="18">
                  <c:v>832164</c:v>
                </c:pt>
                <c:pt idx="19">
                  <c:v>788817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2DF-A5CC-96F6F73F2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5"/>
        <c:axId val="394299472"/>
        <c:axId val="394294376"/>
      </c:barChart>
      <c:catAx>
        <c:axId val="3942994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294376"/>
        <c:crosses val="autoZero"/>
        <c:auto val="1"/>
        <c:lblAlgn val="ctr"/>
        <c:lblOffset val="100"/>
        <c:noMultiLvlLbl val="0"/>
      </c:catAx>
      <c:valAx>
        <c:axId val="394294376"/>
        <c:scaling>
          <c:orientation val="minMax"/>
        </c:scaling>
        <c:delete val="0"/>
        <c:axPos val="t"/>
        <c:numFmt formatCode="#,##0.0" sourceLinked="0"/>
        <c:majorTickMark val="out"/>
        <c:minorTickMark val="none"/>
        <c:tickLblPos val="nextTo"/>
        <c:crossAx val="394299472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 pagos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331742535390453E-2"/>
          <c:y val="5.0278240740740728E-2"/>
          <c:w val="0.91576042219940523"/>
          <c:h val="0.772937268518537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'Fig 3.23'!$A$6:$A$15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3.23'!$B$6:$B$15</c:f>
              <c:numCache>
                <c:formatCode>_(* #,##0_);_(* \(#,##0\);_(* "-"??_);_(@_)</c:formatCode>
                <c:ptCount val="10"/>
                <c:pt idx="0">
                  <c:v>56862869334</c:v>
                </c:pt>
                <c:pt idx="1">
                  <c:v>70279463281</c:v>
                </c:pt>
                <c:pt idx="2">
                  <c:v>81461989545</c:v>
                </c:pt>
                <c:pt idx="3">
                  <c:v>87047335828</c:v>
                </c:pt>
                <c:pt idx="4">
                  <c:v>88243309570</c:v>
                </c:pt>
                <c:pt idx="5">
                  <c:v>93338045415</c:v>
                </c:pt>
                <c:pt idx="6">
                  <c:v>94373862773</c:v>
                </c:pt>
                <c:pt idx="7">
                  <c:v>89026864137</c:v>
                </c:pt>
                <c:pt idx="8">
                  <c:v>91914321291</c:v>
                </c:pt>
                <c:pt idx="9">
                  <c:v>95941602246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389-86AA-7468A67E9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0064"/>
        <c:axId val="394295944"/>
      </c:barChart>
      <c:catAx>
        <c:axId val="394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394295944"/>
        <c:crosses val="autoZero"/>
        <c:auto val="1"/>
        <c:lblAlgn val="ctr"/>
        <c:lblOffset val="100"/>
        <c:noMultiLvlLbl val="0"/>
      </c:catAx>
      <c:valAx>
        <c:axId val="39429594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Bilhões de RPK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394290064"/>
        <c:crosses val="autoZero"/>
        <c:crossBetween val="between"/>
        <c:dispUnits>
          <c:builtInUnit val="b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 de RPK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3.24'!$A$6:$A$15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3.24'!$B$6:$B$15</c:f>
              <c:numCache>
                <c:formatCode>0.0%</c:formatCode>
                <c:ptCount val="10"/>
                <c:pt idx="0">
                  <c:v>0.14379089962217914</c:v>
                </c:pt>
                <c:pt idx="1">
                  <c:v>0.23594648149381761</c:v>
                </c:pt>
                <c:pt idx="2">
                  <c:v>0.15911513466300456</c:v>
                </c:pt>
                <c:pt idx="3">
                  <c:v>6.856383344178732E-2</c:v>
                </c:pt>
                <c:pt idx="4">
                  <c:v>1.3739349178510966E-2</c:v>
                </c:pt>
                <c:pt idx="5">
                  <c:v>5.773509481711521E-2</c:v>
                </c:pt>
                <c:pt idx="6">
                  <c:v>1.1097482847369951E-2</c:v>
                </c:pt>
                <c:pt idx="7">
                  <c:v>-5.6657621918700947E-2</c:v>
                </c:pt>
                <c:pt idx="8">
                  <c:v>3.2433548929192924E-2</c:v>
                </c:pt>
                <c:pt idx="9">
                  <c:v>4.3815598031232382E-2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54-4F96-98F1-FEC8135A8C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1632"/>
        <c:axId val="394299864"/>
      </c:barChart>
      <c:catAx>
        <c:axId val="39429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4299864"/>
        <c:crosses val="autoZero"/>
        <c:auto val="1"/>
        <c:lblAlgn val="ctr"/>
        <c:lblOffset val="100"/>
        <c:noMultiLvlLbl val="0"/>
      </c:catAx>
      <c:valAx>
        <c:axId val="39429986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291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3.25'!$A$6:$A$17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3.25'!$B$6:$B$17</c:f>
              <c:numCache>
                <c:formatCode>0.0%</c:formatCode>
                <c:ptCount val="12"/>
                <c:pt idx="0">
                  <c:v>2.8410621520820935E-2</c:v>
                </c:pt>
                <c:pt idx="1">
                  <c:v>5.6689595170607371E-2</c:v>
                </c:pt>
                <c:pt idx="2">
                  <c:v>1.9156550569927575E-2</c:v>
                </c:pt>
                <c:pt idx="3">
                  <c:v>6.3037375006574317E-2</c:v>
                </c:pt>
                <c:pt idx="4">
                  <c:v>3.8481690496331045E-2</c:v>
                </c:pt>
                <c:pt idx="5">
                  <c:v>5.110988167626155E-2</c:v>
                </c:pt>
                <c:pt idx="6">
                  <c:v>7.3560384303387127E-2</c:v>
                </c:pt>
                <c:pt idx="7">
                  <c:v>4.3492624494468737E-2</c:v>
                </c:pt>
                <c:pt idx="8">
                  <c:v>2.6680124858944061E-2</c:v>
                </c:pt>
                <c:pt idx="9">
                  <c:v>3.2530210477170064E-2</c:v>
                </c:pt>
                <c:pt idx="10">
                  <c:v>5.3918814975580792E-2</c:v>
                </c:pt>
                <c:pt idx="11">
                  <c:v>4.108266293464917E-2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48-4AD0-9D58-B8CD07F91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4768"/>
        <c:axId val="394287712"/>
      </c:barChart>
      <c:catAx>
        <c:axId val="39429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4287712"/>
        <c:crosses val="autoZero"/>
        <c:auto val="1"/>
        <c:lblAlgn val="ctr"/>
        <c:lblOffset val="100"/>
        <c:noMultiLvlLbl val="0"/>
      </c:catAx>
      <c:valAx>
        <c:axId val="39428771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2947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3.26'!$A$6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3.26'!$B$12:$I$12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'Fig 3.26'!$B$6:$I$6</c:f>
              <c:numCache>
                <c:formatCode>0.0%</c:formatCode>
                <c:ptCount val="8"/>
                <c:pt idx="0">
                  <c:v>0.37436742190237654</c:v>
                </c:pt>
                <c:pt idx="1">
                  <c:v>0.33910366071772524</c:v>
                </c:pt>
                <c:pt idx="2">
                  <c:v>0.35378310079400616</c:v>
                </c:pt>
                <c:pt idx="3">
                  <c:v>0.36138280191133354</c:v>
                </c:pt>
                <c:pt idx="4">
                  <c:v>0.35924217288369314</c:v>
                </c:pt>
                <c:pt idx="5">
                  <c:v>0.35978824888978467</c:v>
                </c:pt>
                <c:pt idx="6">
                  <c:v>0.36175659220426415</c:v>
                </c:pt>
                <c:pt idx="7">
                  <c:v>0.35725846464513294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7-43E7-B910-2F1CE20736FF}"/>
            </c:ext>
          </c:extLst>
        </c:ser>
        <c:ser>
          <c:idx val="1"/>
          <c:order val="1"/>
          <c:tx>
            <c:strRef>
              <c:f>'Fig 3.26'!$A$7</c:f>
              <c:strCache>
                <c:ptCount val="1"/>
                <c:pt idx="0">
                  <c:v>Latam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3.26'!$B$12:$I$12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'Fig 3.26'!$B$7:$I$7</c:f>
              <c:numCache>
                <c:formatCode>0.0%</c:formatCode>
                <c:ptCount val="8"/>
                <c:pt idx="0">
                  <c:v>0.40003493888396169</c:v>
                </c:pt>
                <c:pt idx="1">
                  <c:v>0.4030542076592134</c:v>
                </c:pt>
                <c:pt idx="2">
                  <c:v>0.39593753297845624</c:v>
                </c:pt>
                <c:pt idx="3">
                  <c:v>0.38134240382625223</c:v>
                </c:pt>
                <c:pt idx="4">
                  <c:v>0.36690091300264466</c:v>
                </c:pt>
                <c:pt idx="5">
                  <c:v>0.34743634119698097</c:v>
                </c:pt>
                <c:pt idx="6">
                  <c:v>0.3257805429275582</c:v>
                </c:pt>
                <c:pt idx="7">
                  <c:v>0.31889016885034938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3E7-B910-2F1CE20736FF}"/>
            </c:ext>
          </c:extLst>
        </c:ser>
        <c:ser>
          <c:idx val="2"/>
          <c:order val="2"/>
          <c:tx>
            <c:strRef>
              <c:f>'Fig 3.26'!$A$8</c:f>
              <c:strCache>
                <c:ptCount val="1"/>
                <c:pt idx="0">
                  <c:v>Azul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3.26'!$B$12:$I$12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'Fig 3.26'!$B$8:$I$8</c:f>
              <c:numCache>
                <c:formatCode>0.0%</c:formatCode>
                <c:ptCount val="8"/>
                <c:pt idx="0">
                  <c:v>8.5598381207570101E-2</c:v>
                </c:pt>
                <c:pt idx="1">
                  <c:v>0.10053643405344727</c:v>
                </c:pt>
                <c:pt idx="2">
                  <c:v>0.13177489513554291</c:v>
                </c:pt>
                <c:pt idx="3">
                  <c:v>0.16639066089232826</c:v>
                </c:pt>
                <c:pt idx="4">
                  <c:v>0.1698602886644397</c:v>
                </c:pt>
                <c:pt idx="5">
                  <c:v>0.17061854865094719</c:v>
                </c:pt>
                <c:pt idx="6">
                  <c:v>0.17830775356663348</c:v>
                </c:pt>
                <c:pt idx="7">
                  <c:v>0.18610219961950247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7-43E7-B910-2F1CE20736FF}"/>
            </c:ext>
          </c:extLst>
        </c:ser>
        <c:ser>
          <c:idx val="3"/>
          <c:order val="3"/>
          <c:tx>
            <c:strRef>
              <c:f>'Fig 3.26'!$A$9</c:f>
              <c:strCache>
                <c:ptCount val="1"/>
                <c:pt idx="0">
                  <c:v>Avianca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4.0092212087801948E-3"/>
                  <c:y val="-1.270486593731724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97-43E7-B910-2F1CE20736F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3.26'!$B$12:$I$12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'Fig 3.26'!$B$9:$I$9</c:f>
              <c:numCache>
                <c:formatCode>0.0%</c:formatCode>
                <c:ptCount val="8"/>
                <c:pt idx="0">
                  <c:v>3.1388624600035234E-2</c:v>
                </c:pt>
                <c:pt idx="1">
                  <c:v>5.3536673646259636E-2</c:v>
                </c:pt>
                <c:pt idx="2">
                  <c:v>7.1462350026634439E-2</c:v>
                </c:pt>
                <c:pt idx="3">
                  <c:v>8.376595475336053E-2</c:v>
                </c:pt>
                <c:pt idx="4">
                  <c:v>9.4439626281249023E-2</c:v>
                </c:pt>
                <c:pt idx="5">
                  <c:v>0.11461467491764946</c:v>
                </c:pt>
                <c:pt idx="6">
                  <c:v>0.12923931796647181</c:v>
                </c:pt>
                <c:pt idx="7">
                  <c:v>0.13364779901343155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7-43E7-B910-2F1CE20736FF}"/>
            </c:ext>
          </c:extLst>
        </c:ser>
        <c:ser>
          <c:idx val="4"/>
          <c:order val="4"/>
          <c:tx>
            <c:strRef>
              <c:f>'Fig 3.26'!$A$10</c:f>
              <c:strCache>
                <c:ptCount val="1"/>
                <c:pt idx="0">
                  <c:v>Outras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0046106043900974E-3"/>
                  <c:y val="-5.5440055440055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97-43E7-B910-2F1CE20736F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3.26'!$B$12:$I$12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'Fig 3.26'!$B$10:$I$10</c:f>
              <c:numCache>
                <c:formatCode>0.0%</c:formatCode>
                <c:ptCount val="8"/>
                <c:pt idx="0">
                  <c:v>0.10861063340605648</c:v>
                </c:pt>
                <c:pt idx="1">
                  <c:v>0.10376902392335441</c:v>
                </c:pt>
                <c:pt idx="2">
                  <c:v>4.704212106536021E-2</c:v>
                </c:pt>
                <c:pt idx="3">
                  <c:v>7.118178616725479E-3</c:v>
                </c:pt>
                <c:pt idx="4">
                  <c:v>9.5569991679734789E-3</c:v>
                </c:pt>
                <c:pt idx="5">
                  <c:v>7.542186344637769E-3</c:v>
                </c:pt>
                <c:pt idx="6">
                  <c:v>4.9157933350724159E-3</c:v>
                </c:pt>
                <c:pt idx="7">
                  <c:v>4.101367871583772E-3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7-43E7-B910-2F1CE20736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4290848"/>
        <c:axId val="394288496"/>
      </c:barChart>
      <c:catAx>
        <c:axId val="3942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288496"/>
        <c:crosses val="autoZero"/>
        <c:auto val="1"/>
        <c:lblAlgn val="ctr"/>
        <c:lblOffset val="100"/>
        <c:noMultiLvlLbl val="0"/>
      </c:catAx>
      <c:valAx>
        <c:axId val="3942884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3942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C809-4525-8D7E-C2BD0510243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09-4525-8D7E-C2BD0510243D}"/>
              </c:ext>
            </c:extLst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4-C809-4525-8D7E-C2BD0510243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6-C809-4525-8D7E-C2BD0510243D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8-C809-4525-8D7E-C2BD0510243D}"/>
              </c:ext>
            </c:extLst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A-C809-4525-8D7E-C2BD0510243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C809-4525-8D7E-C2BD0510243D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E-C809-4525-8D7E-C2BD0510243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3.27'!$A$6:$A$10</c:f>
              <c:strCache>
                <c:ptCount val="5"/>
                <c:pt idx="0">
                  <c:v>Azul</c:v>
                </c:pt>
                <c:pt idx="1">
                  <c:v>Avianca</c:v>
                </c:pt>
                <c:pt idx="2">
                  <c:v>Gol</c:v>
                </c:pt>
                <c:pt idx="3">
                  <c:v>Latam</c:v>
                </c:pt>
                <c:pt idx="4">
                  <c:v>Outras</c:v>
                </c:pt>
              </c:strCache>
            </c:strRef>
          </c:cat>
          <c:val>
            <c:numRef>
              <c:f>'Fig 3.27'!$B$6:$B$10</c:f>
              <c:numCache>
                <c:formatCode>0.0%</c:formatCode>
                <c:ptCount val="5"/>
                <c:pt idx="0">
                  <c:v>8.9444373029831992E-2</c:v>
                </c:pt>
                <c:pt idx="1">
                  <c:v>7.9421181168365607E-2</c:v>
                </c:pt>
                <c:pt idx="2">
                  <c:v>3.0836661892028161E-2</c:v>
                </c:pt>
                <c:pt idx="3">
                  <c:v>2.1738527763534021E-2</c:v>
                </c:pt>
                <c:pt idx="4">
                  <c:v>-0.12911884902091708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09-4525-8D7E-C2BD051024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292024"/>
        <c:axId val="394123056"/>
      </c:barChart>
      <c:catAx>
        <c:axId val="39429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4123056"/>
        <c:crosses val="autoZero"/>
        <c:auto val="1"/>
        <c:lblAlgn val="ctr"/>
        <c:lblOffset val="100"/>
        <c:noMultiLvlLbl val="0"/>
      </c:catAx>
      <c:valAx>
        <c:axId val="39412305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one"/>
        <c:crossAx val="3942920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3.28'!$A$6:$A$15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3.28'!$B$6:$B$15</c:f>
              <c:numCache>
                <c:formatCode>_(* #,##0_);_(* \(#,##0\);_(* "-"??_);_(@_)</c:formatCode>
                <c:ptCount val="10"/>
                <c:pt idx="0">
                  <c:v>394121514</c:v>
                </c:pt>
                <c:pt idx="1">
                  <c:v>480540211</c:v>
                </c:pt>
                <c:pt idx="2">
                  <c:v>524880463</c:v>
                </c:pt>
                <c:pt idx="3">
                  <c:v>511676562</c:v>
                </c:pt>
                <c:pt idx="4">
                  <c:v>521848581</c:v>
                </c:pt>
                <c:pt idx="5">
                  <c:v>514861434</c:v>
                </c:pt>
                <c:pt idx="6">
                  <c:v>455778877</c:v>
                </c:pt>
                <c:pt idx="7">
                  <c:v>418561542</c:v>
                </c:pt>
                <c:pt idx="8">
                  <c:v>426270951</c:v>
                </c:pt>
                <c:pt idx="9">
                  <c:v>470934272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4BCC-ACC9-F26FAF52F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26192"/>
        <c:axId val="394119920"/>
      </c:barChart>
      <c:catAx>
        <c:axId val="39412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119920"/>
        <c:crosses val="autoZero"/>
        <c:auto val="1"/>
        <c:lblAlgn val="ctr"/>
        <c:lblOffset val="100"/>
        <c:noMultiLvlLbl val="0"/>
      </c:catAx>
      <c:valAx>
        <c:axId val="39411992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Toneladas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94126192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Toneladas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3.29'!$A$6:$A$15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3.29'!$B$6:$B$15</c:f>
              <c:numCache>
                <c:formatCode>0.0%</c:formatCode>
                <c:ptCount val="10"/>
                <c:pt idx="0">
                  <c:v>-6.4730642486811388E-2</c:v>
                </c:pt>
                <c:pt idx="1">
                  <c:v>0.21926916935572313</c:v>
                </c:pt>
                <c:pt idx="2">
                  <c:v>9.2271678800257564E-2</c:v>
                </c:pt>
                <c:pt idx="3">
                  <c:v>-2.5156015380210485E-2</c:v>
                </c:pt>
                <c:pt idx="4">
                  <c:v>1.9879782963363485E-2</c:v>
                </c:pt>
                <c:pt idx="5">
                  <c:v>-1.3389222955461098E-2</c:v>
                </c:pt>
                <c:pt idx="6">
                  <c:v>-0.11475428746135218</c:v>
                </c:pt>
                <c:pt idx="7">
                  <c:v>-8.1656559525025998E-2</c:v>
                </c:pt>
                <c:pt idx="8">
                  <c:v>1.841881832516758E-2</c:v>
                </c:pt>
                <c:pt idx="9">
                  <c:v>0.10477683476958298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195-4931-BEEE-839E3AAA4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21880"/>
        <c:axId val="394117960"/>
      </c:barChart>
      <c:catAx>
        <c:axId val="39412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4117960"/>
        <c:crosses val="autoZero"/>
        <c:auto val="1"/>
        <c:lblAlgn val="ctr"/>
        <c:lblOffset val="100"/>
        <c:noMultiLvlLbl val="0"/>
      </c:catAx>
      <c:valAx>
        <c:axId val="39411796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21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0063210848645752E-2"/>
          <c:y val="1.6203703703703703E-2"/>
          <c:w val="0.58888888888888891"/>
          <c:h val="0.9814814814814815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863-4F46-83CF-31FB2CDEB68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863-4F46-83CF-31FB2CDEB686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0863-4F46-83CF-31FB2CDEB68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863-4F46-83CF-31FB2CDEB686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9-0863-4F46-83CF-31FB2CDEB686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863-4F46-83CF-31FB2CDEB6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0863-4F46-83CF-31FB2CDEB686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0863-4F46-83CF-31FB2CDEB68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 3.30'!$A$6:$A$15</c:f>
              <c:strCache>
                <c:ptCount val="10"/>
                <c:pt idx="0">
                  <c:v> Latam </c:v>
                </c:pt>
                <c:pt idx="1">
                  <c:v> Gol </c:v>
                </c:pt>
                <c:pt idx="2">
                  <c:v> Avianca </c:v>
                </c:pt>
                <c:pt idx="3">
                  <c:v> Sideral </c:v>
                </c:pt>
                <c:pt idx="4">
                  <c:v> Azul </c:v>
                </c:pt>
                <c:pt idx="5">
                  <c:v> Absa </c:v>
                </c:pt>
                <c:pt idx="6">
                  <c:v> Total Linhas Aéreas </c:v>
                </c:pt>
                <c:pt idx="7">
                  <c:v> Modern </c:v>
                </c:pt>
                <c:pt idx="8">
                  <c:v> Two </c:v>
                </c:pt>
                <c:pt idx="9">
                  <c:v> Outras </c:v>
                </c:pt>
              </c:strCache>
            </c:strRef>
          </c:cat>
          <c:val>
            <c:numRef>
              <c:f>'Fig 3.30'!$B$6:$B$15</c:f>
              <c:numCache>
                <c:formatCode>_(* #,##0_);_(* \(#,##0\);_(* "-"??_);_(@_)</c:formatCode>
                <c:ptCount val="10"/>
                <c:pt idx="0">
                  <c:v>127283664</c:v>
                </c:pt>
                <c:pt idx="1">
                  <c:v>103942614</c:v>
                </c:pt>
                <c:pt idx="2">
                  <c:v>66473067</c:v>
                </c:pt>
                <c:pt idx="3">
                  <c:v>56194746</c:v>
                </c:pt>
                <c:pt idx="4">
                  <c:v>57817694</c:v>
                </c:pt>
                <c:pt idx="5">
                  <c:v>35839967</c:v>
                </c:pt>
                <c:pt idx="6">
                  <c:v>17714172</c:v>
                </c:pt>
                <c:pt idx="7">
                  <c:v>4438779</c:v>
                </c:pt>
                <c:pt idx="8">
                  <c:v>1223666</c:v>
                </c:pt>
                <c:pt idx="9">
                  <c:v>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3-4F46-83CF-31FB2CDEB6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579017729577038E-2"/>
          <c:y val="5.9505399195342798E-2"/>
          <c:w val="0.90479378300791602"/>
          <c:h val="0.75448292146872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2.1'!$B$5</c:f>
              <c:strCache>
                <c:ptCount val="1"/>
                <c:pt idx="0">
                  <c:v>Doméstico</c:v>
                </c:pt>
              </c:strCache>
            </c:strRef>
          </c:tx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Lbls>
            <c:delete val="1"/>
          </c:dLbls>
          <c:cat>
            <c:numRef>
              <c:f>'Fig 2.1'!$A$6:$A$15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2.1'!$B$6:$B$15</c:f>
              <c:numCache>
                <c:formatCode>_(* #,##0_);_(* \(#,##0\);_(* "-"??_);_(@_)</c:formatCode>
                <c:ptCount val="10"/>
                <c:pt idx="0">
                  <c:v>733624</c:v>
                </c:pt>
                <c:pt idx="1">
                  <c:v>844718</c:v>
                </c:pt>
                <c:pt idx="2">
                  <c:v>958083</c:v>
                </c:pt>
                <c:pt idx="3">
                  <c:v>990839</c:v>
                </c:pt>
                <c:pt idx="4">
                  <c:v>946681</c:v>
                </c:pt>
                <c:pt idx="5">
                  <c:v>941853</c:v>
                </c:pt>
                <c:pt idx="6">
                  <c:v>935675</c:v>
                </c:pt>
                <c:pt idx="7">
                  <c:v>828893</c:v>
                </c:pt>
                <c:pt idx="8">
                  <c:v>805472</c:v>
                </c:pt>
                <c:pt idx="9">
                  <c:v>815862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4CFD-A317-5484C189C01A}"/>
            </c:ext>
          </c:extLst>
        </c:ser>
        <c:ser>
          <c:idx val="1"/>
          <c:order val="1"/>
          <c:tx>
            <c:strRef>
              <c:f>'Fig 2.1'!$C$5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52DA3A-4830-40E6-A07D-291BA8CDB0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FCB-4CFD-A317-5484C189C0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438375-B0B2-4818-83BC-2109B6D7EF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CB-4CFD-A317-5484C189C0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23BC0D-18EE-43A1-B301-CA010E8265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CB-4CFD-A317-5484C189C0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66BB7B-60A3-4047-97B7-C6D48119D0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CB-4CFD-A317-5484C189C0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16DE32-5FB1-44E3-94F1-EFBFE98DAD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CB-4CFD-A317-5484C189C0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39C3BC-7453-4A9E-A468-6D2CD1942E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CB-4CFD-A317-5484C189C01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4CA088-F0A1-4455-AF79-B7E7496D3C0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CB-4CFD-A317-5484C189C01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686D25-021F-4E76-ABA9-90A913D4731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CB-4CFD-A317-5484C189C0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58E16A-EC2B-4395-B14D-EF4B123CF3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CB-4CFD-A317-5484C189C01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C4147C-281E-4E62-83F1-45D86265EB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CB-4CFD-A317-5484C189C01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'Fig 2.1'!$A$6:$A$15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2.1'!$C$6:$C$15</c:f>
              <c:numCache>
                <c:formatCode>_(* #,##0_);_(* \(#,##0\);_(* "-"??_);_(@_)</c:formatCode>
                <c:ptCount val="10"/>
                <c:pt idx="0">
                  <c:v>101124</c:v>
                </c:pt>
                <c:pt idx="1">
                  <c:v>117472</c:v>
                </c:pt>
                <c:pt idx="2">
                  <c:v>135426</c:v>
                </c:pt>
                <c:pt idx="3">
                  <c:v>142514</c:v>
                </c:pt>
                <c:pt idx="4">
                  <c:v>144845</c:v>
                </c:pt>
                <c:pt idx="5">
                  <c:v>149318</c:v>
                </c:pt>
                <c:pt idx="6">
                  <c:v>147203</c:v>
                </c:pt>
                <c:pt idx="7">
                  <c:v>135863</c:v>
                </c:pt>
                <c:pt idx="8">
                  <c:v>135416</c:v>
                </c:pt>
                <c:pt idx="9">
                  <c:v>151197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2.1'!$E$6:$E$15</c15:f>
                <c15:dlblRangeCache>
                  <c:ptCount val="10"/>
                  <c:pt idx="0">
                    <c:v> 835 </c:v>
                  </c:pt>
                  <c:pt idx="1">
                    <c:v> 962 </c:v>
                  </c:pt>
                  <c:pt idx="2">
                    <c:v> 1.094 </c:v>
                  </c:pt>
                  <c:pt idx="3">
                    <c:v> 1.133 </c:v>
                  </c:pt>
                  <c:pt idx="4">
                    <c:v> 1.092 </c:v>
                  </c:pt>
                  <c:pt idx="5">
                    <c:v> 1.091 </c:v>
                  </c:pt>
                  <c:pt idx="6">
                    <c:v> 1.083 </c:v>
                  </c:pt>
                  <c:pt idx="7">
                    <c:v> 965 </c:v>
                  </c:pt>
                  <c:pt idx="8">
                    <c:v> 941 </c:v>
                  </c:pt>
                  <c:pt idx="9">
                    <c:v> 967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FCB-4CFD-A317-5484C189C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214088"/>
        <c:axId val="132210168"/>
      </c:barChart>
      <c:catAx>
        <c:axId val="1322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210168"/>
        <c:crosses val="autoZero"/>
        <c:auto val="1"/>
        <c:lblAlgn val="ctr"/>
        <c:lblOffset val="100"/>
        <c:noMultiLvlLbl val="0"/>
      </c:catAx>
      <c:valAx>
        <c:axId val="13221016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Milhares de voos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214088"/>
        <c:crosses val="autoZero"/>
        <c:crossBetween val="between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.33364057021795451"/>
          <c:y val="0.91161667075352604"/>
          <c:w val="0.27534840553711559"/>
          <c:h val="7.826608179167915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780-49FA-BEA9-C34A606317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780-49FA-BEA9-C34A606317B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780-49FA-BEA9-C34A606317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5780-49FA-BEA9-C34A606317B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780-49FA-BEA9-C34A606317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5780-49FA-BEA9-C34A606317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5780-49FA-BEA9-C34A606317B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5780-49FA-BEA9-C34A606317B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3.31'!$A$6:$A$15</c15:sqref>
                  </c15:fullRef>
                </c:ext>
              </c:extLst>
              <c:f>('Fig 3.31'!$A$6:$A$12,'Fig 3.31'!$A$14)</c:f>
              <c:strCache>
                <c:ptCount val="8"/>
                <c:pt idx="0">
                  <c:v>Latam</c:v>
                </c:pt>
                <c:pt idx="1">
                  <c:v>Gol</c:v>
                </c:pt>
                <c:pt idx="2">
                  <c:v>Avianca</c:v>
                </c:pt>
                <c:pt idx="3">
                  <c:v>Sideral</c:v>
                </c:pt>
                <c:pt idx="4">
                  <c:v>Azul</c:v>
                </c:pt>
                <c:pt idx="5">
                  <c:v>Absa</c:v>
                </c:pt>
                <c:pt idx="6">
                  <c:v>Total Linhas Aéreas</c:v>
                </c:pt>
                <c:pt idx="7">
                  <c:v>Two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3.31'!$B$6:$B$15</c15:sqref>
                  </c15:fullRef>
                </c:ext>
              </c:extLst>
              <c:f>('Fig 3.31'!$B$6:$B$12,'Fig 3.31'!$B$14)</c:f>
              <c:numCache>
                <c:formatCode>0.0%</c:formatCode>
                <c:ptCount val="8"/>
                <c:pt idx="0">
                  <c:v>8.1025616461147809E-2</c:v>
                </c:pt>
                <c:pt idx="1">
                  <c:v>6.1725442682869724E-2</c:v>
                </c:pt>
                <c:pt idx="2">
                  <c:v>0.21830984069798842</c:v>
                </c:pt>
                <c:pt idx="3">
                  <c:v>-1.4045515422910326E-2</c:v>
                </c:pt>
                <c:pt idx="4">
                  <c:v>0.42945719476453648</c:v>
                </c:pt>
                <c:pt idx="5">
                  <c:v>-8.8139582958320584E-2</c:v>
                </c:pt>
                <c:pt idx="6">
                  <c:v>-1.809957384693639E-2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3.31'!$B$13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5780-49FA-BEA9-C34A60631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17176"/>
        <c:axId val="394125016"/>
      </c:barChart>
      <c:catAx>
        <c:axId val="3941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4125016"/>
        <c:crosses val="autoZero"/>
        <c:auto val="1"/>
        <c:lblAlgn val="ctr"/>
        <c:lblOffset val="100"/>
        <c:noMultiLvlLbl val="0"/>
      </c:catAx>
      <c:valAx>
        <c:axId val="39412501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17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3.32'!$C$27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3.32'!$A$6:$A$25</c:f>
              <c:strCache>
                <c:ptCount val="20"/>
                <c:pt idx="0">
                  <c:v>São Paulo - Guarulhos / Manaus</c:v>
                </c:pt>
                <c:pt idx="1">
                  <c:v>Manaus / São Paulo - Guarulhos</c:v>
                </c:pt>
                <c:pt idx="2">
                  <c:v>São Paulo - Guarulhos / Recife</c:v>
                </c:pt>
                <c:pt idx="3">
                  <c:v>São Paulo - Guarulhos / Salvador</c:v>
                </c:pt>
                <c:pt idx="4">
                  <c:v>São Paulo - Guarulhos / Brasília</c:v>
                </c:pt>
                <c:pt idx="5">
                  <c:v>Porto Alegre / São Paulo - Guarulhos</c:v>
                </c:pt>
                <c:pt idx="6">
                  <c:v>Fortaleza / São Paulo - Guarulhos</c:v>
                </c:pt>
                <c:pt idx="7">
                  <c:v>Recife / São Paulo - Guarulhos</c:v>
                </c:pt>
                <c:pt idx="8">
                  <c:v>São Paulo - Guarulhos / Porto Alegre</c:v>
                </c:pt>
                <c:pt idx="9">
                  <c:v>São Paulo - Guarulhos / Rio De Janeiro - Galeão</c:v>
                </c:pt>
                <c:pt idx="10">
                  <c:v>São Paulo - Guarulhos / Fortaleza</c:v>
                </c:pt>
                <c:pt idx="11">
                  <c:v>São Paulo - Congonhas / Brasília</c:v>
                </c:pt>
                <c:pt idx="12">
                  <c:v>Salvador / São Paulo - Guarulhos</c:v>
                </c:pt>
                <c:pt idx="13">
                  <c:v>Brasília / Manaus</c:v>
                </c:pt>
                <c:pt idx="14">
                  <c:v>Vitória / São Paulo - Guarulhos</c:v>
                </c:pt>
                <c:pt idx="15">
                  <c:v>Brasília / Belém</c:v>
                </c:pt>
                <c:pt idx="16">
                  <c:v>Rio De Janeiro - Galeão / São Paulo - Guarulhos</c:v>
                </c:pt>
                <c:pt idx="17">
                  <c:v>Campinas / Manaus</c:v>
                </c:pt>
                <c:pt idx="18">
                  <c:v>Curitiba / São Paulo - Guarulhos</c:v>
                </c:pt>
                <c:pt idx="19">
                  <c:v>São Paulo - Guarulhos / Belo Horizonte - Confins</c:v>
                </c:pt>
              </c:strCache>
            </c:strRef>
          </c:cat>
          <c:val>
            <c:numRef>
              <c:f>'Fig 3.32'!$C$6:$C$25</c:f>
              <c:numCache>
                <c:formatCode>_(* #,##0_);_(* \(#,##0\);_(* "-"??_);_(@_)</c:formatCode>
                <c:ptCount val="20"/>
                <c:pt idx="0">
                  <c:v>35433868</c:v>
                </c:pt>
                <c:pt idx="1">
                  <c:v>33479226</c:v>
                </c:pt>
                <c:pt idx="2">
                  <c:v>13700758</c:v>
                </c:pt>
                <c:pt idx="3">
                  <c:v>12594792</c:v>
                </c:pt>
                <c:pt idx="4">
                  <c:v>12027172</c:v>
                </c:pt>
                <c:pt idx="5">
                  <c:v>8894612</c:v>
                </c:pt>
                <c:pt idx="6">
                  <c:v>8611562</c:v>
                </c:pt>
                <c:pt idx="7">
                  <c:v>8456501</c:v>
                </c:pt>
                <c:pt idx="8">
                  <c:v>8185985</c:v>
                </c:pt>
                <c:pt idx="9">
                  <c:v>7793339</c:v>
                </c:pt>
                <c:pt idx="10">
                  <c:v>7316105</c:v>
                </c:pt>
                <c:pt idx="11">
                  <c:v>6797539</c:v>
                </c:pt>
                <c:pt idx="12">
                  <c:v>6063053</c:v>
                </c:pt>
                <c:pt idx="13">
                  <c:v>5937878</c:v>
                </c:pt>
                <c:pt idx="14">
                  <c:v>5212248</c:v>
                </c:pt>
                <c:pt idx="15">
                  <c:v>4777204</c:v>
                </c:pt>
                <c:pt idx="16">
                  <c:v>4587257</c:v>
                </c:pt>
                <c:pt idx="17">
                  <c:v>4440719</c:v>
                </c:pt>
                <c:pt idx="18">
                  <c:v>4352975</c:v>
                </c:pt>
                <c:pt idx="19">
                  <c:v>4172151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D-4957-B307-1991043BEA9A}"/>
            </c:ext>
          </c:extLst>
        </c:ser>
        <c:ser>
          <c:idx val="0"/>
          <c:order val="1"/>
          <c:tx>
            <c:strRef>
              <c:f>'Fig 3.32'!$B$27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3.32'!$A$6:$A$25</c:f>
              <c:strCache>
                <c:ptCount val="20"/>
                <c:pt idx="0">
                  <c:v>São Paulo - Guarulhos / Manaus</c:v>
                </c:pt>
                <c:pt idx="1">
                  <c:v>Manaus / São Paulo - Guarulhos</c:v>
                </c:pt>
                <c:pt idx="2">
                  <c:v>São Paulo - Guarulhos / Recife</c:v>
                </c:pt>
                <c:pt idx="3">
                  <c:v>São Paulo - Guarulhos / Salvador</c:v>
                </c:pt>
                <c:pt idx="4">
                  <c:v>São Paulo - Guarulhos / Brasília</c:v>
                </c:pt>
                <c:pt idx="5">
                  <c:v>Porto Alegre / São Paulo - Guarulhos</c:v>
                </c:pt>
                <c:pt idx="6">
                  <c:v>Fortaleza / São Paulo - Guarulhos</c:v>
                </c:pt>
                <c:pt idx="7">
                  <c:v>Recife / São Paulo - Guarulhos</c:v>
                </c:pt>
                <c:pt idx="8">
                  <c:v>São Paulo - Guarulhos / Porto Alegre</c:v>
                </c:pt>
                <c:pt idx="9">
                  <c:v>São Paulo - Guarulhos / Rio De Janeiro - Galeão</c:v>
                </c:pt>
                <c:pt idx="10">
                  <c:v>São Paulo - Guarulhos / Fortaleza</c:v>
                </c:pt>
                <c:pt idx="11">
                  <c:v>São Paulo - Congonhas / Brasília</c:v>
                </c:pt>
                <c:pt idx="12">
                  <c:v>Salvador / São Paulo - Guarulhos</c:v>
                </c:pt>
                <c:pt idx="13">
                  <c:v>Brasília / Manaus</c:v>
                </c:pt>
                <c:pt idx="14">
                  <c:v>Vitória / São Paulo - Guarulhos</c:v>
                </c:pt>
                <c:pt idx="15">
                  <c:v>Brasília / Belém</c:v>
                </c:pt>
                <c:pt idx="16">
                  <c:v>Rio De Janeiro - Galeão / São Paulo - Guarulhos</c:v>
                </c:pt>
                <c:pt idx="17">
                  <c:v>Campinas / Manaus</c:v>
                </c:pt>
                <c:pt idx="18">
                  <c:v>Curitiba / São Paulo - Guarulhos</c:v>
                </c:pt>
                <c:pt idx="19">
                  <c:v>São Paulo - Guarulhos / Belo Horizonte - Confins</c:v>
                </c:pt>
              </c:strCache>
            </c:strRef>
          </c:cat>
          <c:val>
            <c:numRef>
              <c:f>'Fig 3.32'!$B$6:$B$25</c:f>
              <c:numCache>
                <c:formatCode>_(* #,##0_);_(* \(#,##0\);_(* "-"??_);_(@_)</c:formatCode>
                <c:ptCount val="20"/>
                <c:pt idx="0">
                  <c:v>35460388</c:v>
                </c:pt>
                <c:pt idx="1">
                  <c:v>33251060</c:v>
                </c:pt>
                <c:pt idx="2">
                  <c:v>12964968</c:v>
                </c:pt>
                <c:pt idx="3">
                  <c:v>11114829</c:v>
                </c:pt>
                <c:pt idx="4">
                  <c:v>11499526</c:v>
                </c:pt>
                <c:pt idx="5">
                  <c:v>8008362</c:v>
                </c:pt>
                <c:pt idx="6">
                  <c:v>7698073</c:v>
                </c:pt>
                <c:pt idx="7">
                  <c:v>8259567</c:v>
                </c:pt>
                <c:pt idx="8">
                  <c:v>6984696</c:v>
                </c:pt>
                <c:pt idx="9">
                  <c:v>6525444</c:v>
                </c:pt>
                <c:pt idx="10">
                  <c:v>7454430</c:v>
                </c:pt>
                <c:pt idx="11">
                  <c:v>6429227</c:v>
                </c:pt>
                <c:pt idx="12">
                  <c:v>4893604</c:v>
                </c:pt>
                <c:pt idx="13">
                  <c:v>6175652</c:v>
                </c:pt>
                <c:pt idx="14">
                  <c:v>4075460</c:v>
                </c:pt>
                <c:pt idx="15">
                  <c:v>5238721</c:v>
                </c:pt>
                <c:pt idx="16">
                  <c:v>4121719</c:v>
                </c:pt>
                <c:pt idx="17">
                  <c:v>2078924</c:v>
                </c:pt>
                <c:pt idx="18">
                  <c:v>3845547</c:v>
                </c:pt>
                <c:pt idx="19">
                  <c:v>3248348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D-4957-B307-1991043BE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4126584"/>
        <c:axId val="394129328"/>
      </c:barChart>
      <c:catAx>
        <c:axId val="3941265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129328"/>
        <c:crosses val="autoZero"/>
        <c:auto val="1"/>
        <c:lblAlgn val="ctr"/>
        <c:lblOffset val="100"/>
        <c:noMultiLvlLbl val="0"/>
      </c:catAx>
      <c:valAx>
        <c:axId val="394129328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nextTo"/>
        <c:crossAx val="394126584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Toneladas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3.33'!$C$34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3.33'!$A$6:$A$32</c:f>
              <c:strCache>
                <c:ptCount val="27"/>
                <c:pt idx="0">
                  <c:v>SP</c:v>
                </c:pt>
                <c:pt idx="1">
                  <c:v>DF</c:v>
                </c:pt>
                <c:pt idx="2">
                  <c:v>AM</c:v>
                </c:pt>
                <c:pt idx="3">
                  <c:v>RJ</c:v>
                </c:pt>
                <c:pt idx="4">
                  <c:v>CE</c:v>
                </c:pt>
                <c:pt idx="5">
                  <c:v>PE</c:v>
                </c:pt>
                <c:pt idx="6">
                  <c:v>MG</c:v>
                </c:pt>
                <c:pt idx="7">
                  <c:v>RS</c:v>
                </c:pt>
                <c:pt idx="8">
                  <c:v>ES</c:v>
                </c:pt>
                <c:pt idx="9">
                  <c:v>BA</c:v>
                </c:pt>
                <c:pt idx="10">
                  <c:v>PR</c:v>
                </c:pt>
                <c:pt idx="11">
                  <c:v>PA</c:v>
                </c:pt>
                <c:pt idx="12">
                  <c:v>SC</c:v>
                </c:pt>
                <c:pt idx="13">
                  <c:v>GO</c:v>
                </c:pt>
                <c:pt idx="14">
                  <c:v>RN</c:v>
                </c:pt>
                <c:pt idx="15">
                  <c:v>MT</c:v>
                </c:pt>
                <c:pt idx="16">
                  <c:v>MS</c:v>
                </c:pt>
                <c:pt idx="17">
                  <c:v>MA</c:v>
                </c:pt>
                <c:pt idx="18">
                  <c:v>PB</c:v>
                </c:pt>
                <c:pt idx="19">
                  <c:v>TO</c:v>
                </c:pt>
                <c:pt idx="20">
                  <c:v>PI</c:v>
                </c:pt>
                <c:pt idx="21">
                  <c:v>RO</c:v>
                </c:pt>
                <c:pt idx="22">
                  <c:v>AC</c:v>
                </c:pt>
                <c:pt idx="23">
                  <c:v>AL</c:v>
                </c:pt>
                <c:pt idx="24">
                  <c:v>SE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'Fig 3.33'!$C$6:$C$32</c:f>
              <c:numCache>
                <c:formatCode>_(* #,##0_);_(* \(#,##0\);_(* "-"??_);_(@_)</c:formatCode>
                <c:ptCount val="27"/>
                <c:pt idx="0">
                  <c:v>190691537</c:v>
                </c:pt>
                <c:pt idx="1">
                  <c:v>44510172</c:v>
                </c:pt>
                <c:pt idx="2">
                  <c:v>44372449</c:v>
                </c:pt>
                <c:pt idx="3">
                  <c:v>28257119</c:v>
                </c:pt>
                <c:pt idx="4">
                  <c:v>23140144</c:v>
                </c:pt>
                <c:pt idx="5">
                  <c:v>20057868</c:v>
                </c:pt>
                <c:pt idx="6">
                  <c:v>18213795</c:v>
                </c:pt>
                <c:pt idx="7">
                  <c:v>15522628</c:v>
                </c:pt>
                <c:pt idx="8">
                  <c:v>15243564</c:v>
                </c:pt>
                <c:pt idx="9">
                  <c:v>13972517</c:v>
                </c:pt>
                <c:pt idx="10">
                  <c:v>12542134</c:v>
                </c:pt>
                <c:pt idx="11">
                  <c:v>12315584</c:v>
                </c:pt>
                <c:pt idx="12">
                  <c:v>9005054</c:v>
                </c:pt>
                <c:pt idx="13">
                  <c:v>5116596</c:v>
                </c:pt>
                <c:pt idx="14">
                  <c:v>4709345</c:v>
                </c:pt>
                <c:pt idx="15">
                  <c:v>2594402</c:v>
                </c:pt>
                <c:pt idx="16">
                  <c:v>2018938</c:v>
                </c:pt>
                <c:pt idx="17">
                  <c:v>1741828</c:v>
                </c:pt>
                <c:pt idx="18">
                  <c:v>1532711</c:v>
                </c:pt>
                <c:pt idx="19">
                  <c:v>1137669</c:v>
                </c:pt>
                <c:pt idx="20">
                  <c:v>932437</c:v>
                </c:pt>
                <c:pt idx="21">
                  <c:v>879865</c:v>
                </c:pt>
                <c:pt idx="22">
                  <c:v>789496</c:v>
                </c:pt>
                <c:pt idx="23">
                  <c:v>680652</c:v>
                </c:pt>
                <c:pt idx="24">
                  <c:v>422617</c:v>
                </c:pt>
                <c:pt idx="25">
                  <c:v>383246</c:v>
                </c:pt>
                <c:pt idx="26">
                  <c:v>149905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461E-95D1-D0C20FC17872}"/>
            </c:ext>
          </c:extLst>
        </c:ser>
        <c:ser>
          <c:idx val="1"/>
          <c:order val="1"/>
          <c:tx>
            <c:strRef>
              <c:f>'Fig 3.33'!$B$34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3.33'!$A$6:$A$32</c:f>
              <c:strCache>
                <c:ptCount val="27"/>
                <c:pt idx="0">
                  <c:v>SP</c:v>
                </c:pt>
                <c:pt idx="1">
                  <c:v>DF</c:v>
                </c:pt>
                <c:pt idx="2">
                  <c:v>AM</c:v>
                </c:pt>
                <c:pt idx="3">
                  <c:v>RJ</c:v>
                </c:pt>
                <c:pt idx="4">
                  <c:v>CE</c:v>
                </c:pt>
                <c:pt idx="5">
                  <c:v>PE</c:v>
                </c:pt>
                <c:pt idx="6">
                  <c:v>MG</c:v>
                </c:pt>
                <c:pt idx="7">
                  <c:v>RS</c:v>
                </c:pt>
                <c:pt idx="8">
                  <c:v>ES</c:v>
                </c:pt>
                <c:pt idx="9">
                  <c:v>BA</c:v>
                </c:pt>
                <c:pt idx="10">
                  <c:v>PR</c:v>
                </c:pt>
                <c:pt idx="11">
                  <c:v>PA</c:v>
                </c:pt>
                <c:pt idx="12">
                  <c:v>SC</c:v>
                </c:pt>
                <c:pt idx="13">
                  <c:v>GO</c:v>
                </c:pt>
                <c:pt idx="14">
                  <c:v>RN</c:v>
                </c:pt>
                <c:pt idx="15">
                  <c:v>MT</c:v>
                </c:pt>
                <c:pt idx="16">
                  <c:v>MS</c:v>
                </c:pt>
                <c:pt idx="17">
                  <c:v>MA</c:v>
                </c:pt>
                <c:pt idx="18">
                  <c:v>PB</c:v>
                </c:pt>
                <c:pt idx="19">
                  <c:v>TO</c:v>
                </c:pt>
                <c:pt idx="20">
                  <c:v>PI</c:v>
                </c:pt>
                <c:pt idx="21">
                  <c:v>RO</c:v>
                </c:pt>
                <c:pt idx="22">
                  <c:v>AC</c:v>
                </c:pt>
                <c:pt idx="23">
                  <c:v>AL</c:v>
                </c:pt>
                <c:pt idx="24">
                  <c:v>SE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'Fig 3.33'!$B$6:$B$32</c:f>
              <c:numCache>
                <c:formatCode>_(* #,##0_);_(* \(#,##0\);_(* "-"??_);_(@_)</c:formatCode>
                <c:ptCount val="27"/>
                <c:pt idx="0">
                  <c:v>172188541</c:v>
                </c:pt>
                <c:pt idx="1">
                  <c:v>41689248</c:v>
                </c:pt>
                <c:pt idx="2">
                  <c:v>41899006</c:v>
                </c:pt>
                <c:pt idx="3">
                  <c:v>27757530</c:v>
                </c:pt>
                <c:pt idx="4">
                  <c:v>20437831</c:v>
                </c:pt>
                <c:pt idx="5">
                  <c:v>18853707</c:v>
                </c:pt>
                <c:pt idx="6">
                  <c:v>14491524</c:v>
                </c:pt>
                <c:pt idx="7">
                  <c:v>13609510</c:v>
                </c:pt>
                <c:pt idx="8">
                  <c:v>13400216</c:v>
                </c:pt>
                <c:pt idx="9">
                  <c:v>11087389</c:v>
                </c:pt>
                <c:pt idx="10">
                  <c:v>11221096</c:v>
                </c:pt>
                <c:pt idx="11">
                  <c:v>11938272</c:v>
                </c:pt>
                <c:pt idx="12">
                  <c:v>7145014</c:v>
                </c:pt>
                <c:pt idx="13">
                  <c:v>4793822</c:v>
                </c:pt>
                <c:pt idx="14">
                  <c:v>3783232</c:v>
                </c:pt>
                <c:pt idx="15">
                  <c:v>2311825</c:v>
                </c:pt>
                <c:pt idx="16">
                  <c:v>1821931</c:v>
                </c:pt>
                <c:pt idx="17">
                  <c:v>2118749</c:v>
                </c:pt>
                <c:pt idx="18">
                  <c:v>1227864</c:v>
                </c:pt>
                <c:pt idx="19">
                  <c:v>846522</c:v>
                </c:pt>
                <c:pt idx="20">
                  <c:v>1008016</c:v>
                </c:pt>
                <c:pt idx="21">
                  <c:v>809021</c:v>
                </c:pt>
                <c:pt idx="22">
                  <c:v>507598</c:v>
                </c:pt>
                <c:pt idx="23">
                  <c:v>489054</c:v>
                </c:pt>
                <c:pt idx="24">
                  <c:v>375157</c:v>
                </c:pt>
                <c:pt idx="25">
                  <c:v>313831</c:v>
                </c:pt>
                <c:pt idx="26">
                  <c:v>145445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C-461E-95D1-D0C20FC178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4122272"/>
        <c:axId val="394126976"/>
      </c:barChart>
      <c:catAx>
        <c:axId val="3941222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4126976"/>
        <c:crosses val="autoZero"/>
        <c:auto val="1"/>
        <c:lblAlgn val="ctr"/>
        <c:lblOffset val="100"/>
        <c:noMultiLvlLbl val="0"/>
      </c:catAx>
      <c:valAx>
        <c:axId val="394126976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nextTo"/>
        <c:crossAx val="394122272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Toneladas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03593540734238E-2"/>
          <c:y val="5.0278240740740728E-2"/>
          <c:w val="0.9217742540125754"/>
          <c:h val="0.7729372685185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3.34'!$A$6:$A$15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3.34'!$B$6:$B$15</c:f>
              <c:numCache>
                <c:formatCode>_(* #,##0_);_(* \(#,##0\);_(* "-"??_);_(@_)</c:formatCode>
                <c:ptCount val="10"/>
                <c:pt idx="0">
                  <c:v>12601853</c:v>
                </c:pt>
                <c:pt idx="1">
                  <c:v>15371053</c:v>
                </c:pt>
                <c:pt idx="2">
                  <c:v>17884288</c:v>
                </c:pt>
                <c:pt idx="3">
                  <c:v>18945951</c:v>
                </c:pt>
                <c:pt idx="4">
                  <c:v>19785492</c:v>
                </c:pt>
                <c:pt idx="5">
                  <c:v>21302022</c:v>
                </c:pt>
                <c:pt idx="6">
                  <c:v>21568211</c:v>
                </c:pt>
                <c:pt idx="7">
                  <c:v>20914827</c:v>
                </c:pt>
                <c:pt idx="8">
                  <c:v>21888592</c:v>
                </c:pt>
                <c:pt idx="9">
                  <c:v>23987969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E-4805-B21D-ABD31B03B7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19136"/>
        <c:axId val="394117568"/>
      </c:barChart>
      <c:catAx>
        <c:axId val="3941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4117568"/>
        <c:crosses val="autoZero"/>
        <c:auto val="1"/>
        <c:lblAlgn val="ctr"/>
        <c:lblOffset val="100"/>
        <c:noMultiLvlLbl val="0"/>
      </c:catAx>
      <c:valAx>
        <c:axId val="39411756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Passageoros Pagos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3941191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0228091539675114E-2"/>
                <c:y val="5.4926337786675106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 Pagos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3836388892168089E-2"/>
          <c:y val="4.1666666666666664E-2"/>
          <c:w val="0.96303265689989637"/>
          <c:h val="0.81677493438321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3.35'!$A$6:$A$15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3.35'!$B$6:$B$15</c:f>
              <c:numCache>
                <c:formatCode>0.0%</c:formatCode>
                <c:ptCount val="10"/>
                <c:pt idx="0">
                  <c:v>-5.9602509148871392E-2</c:v>
                </c:pt>
                <c:pt idx="1">
                  <c:v>0.2197454612428823</c:v>
                </c:pt>
                <c:pt idx="2">
                  <c:v>0.16350441313291939</c:v>
                </c:pt>
                <c:pt idx="3">
                  <c:v>5.9362888810558186E-2</c:v>
                </c:pt>
                <c:pt idx="4">
                  <c:v>4.4312423271864264E-2</c:v>
                </c:pt>
                <c:pt idx="5">
                  <c:v>7.6648586752353698E-2</c:v>
                </c:pt>
                <c:pt idx="6">
                  <c:v>1.249594991498929E-2</c:v>
                </c:pt>
                <c:pt idx="7">
                  <c:v>-3.0293843100848743E-2</c:v>
                </c:pt>
                <c:pt idx="8">
                  <c:v>4.6558596922652053E-2</c:v>
                </c:pt>
                <c:pt idx="9">
                  <c:v>9.5911925262255338E-2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57-411B-89A9-B7DB60ED7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28152"/>
        <c:axId val="394120312"/>
      </c:barChart>
      <c:catAx>
        <c:axId val="39412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4120312"/>
        <c:crosses val="autoZero"/>
        <c:auto val="1"/>
        <c:lblAlgn val="ctr"/>
        <c:lblOffset val="100"/>
        <c:noMultiLvlLbl val="0"/>
      </c:catAx>
      <c:valAx>
        <c:axId val="39412031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281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3.36'!$A$6:$A$17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3.36'!$B$6:$B$17</c:f>
              <c:numCache>
                <c:formatCode>0.0%</c:formatCode>
                <c:ptCount val="12"/>
                <c:pt idx="0">
                  <c:v>0.16868498761219855</c:v>
                </c:pt>
                <c:pt idx="1">
                  <c:v>0.17016221391356354</c:v>
                </c:pt>
                <c:pt idx="2">
                  <c:v>0.11379881514681507</c:v>
                </c:pt>
                <c:pt idx="3">
                  <c:v>0.11973879183430761</c:v>
                </c:pt>
                <c:pt idx="4">
                  <c:v>0.11518229078445391</c:v>
                </c:pt>
                <c:pt idx="5">
                  <c:v>8.5716572612944214E-2</c:v>
                </c:pt>
                <c:pt idx="6">
                  <c:v>6.1890127058134285E-2</c:v>
                </c:pt>
                <c:pt idx="7">
                  <c:v>8.651047690776556E-2</c:v>
                </c:pt>
                <c:pt idx="8">
                  <c:v>7.3275178255688009E-2</c:v>
                </c:pt>
                <c:pt idx="9">
                  <c:v>1.6113700954287335E-2</c:v>
                </c:pt>
                <c:pt idx="10">
                  <c:v>7.1240909652224446E-2</c:v>
                </c:pt>
                <c:pt idx="11">
                  <c:v>7.6498642448098841E-2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E22-46EA-ACBC-56EF8A5EB8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28544"/>
        <c:axId val="394121096"/>
      </c:barChart>
      <c:catAx>
        <c:axId val="3941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4121096"/>
        <c:crosses val="autoZero"/>
        <c:auto val="1"/>
        <c:lblAlgn val="ctr"/>
        <c:lblOffset val="100"/>
        <c:noMultiLvlLbl val="0"/>
      </c:catAx>
      <c:valAx>
        <c:axId val="39412109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285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3.37'!$B$5</c:f>
              <c:strCache>
                <c:ptCount val="1"/>
                <c:pt idx="0">
                  <c:v>Empresas Brasileiras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3.37'!$A$6:$A$15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3.37'!$B$6:$B$15</c:f>
              <c:numCache>
                <c:formatCode>_(* #,##0_);_(* \(#,##0\);_(* "-"??_);_(@_)</c:formatCode>
                <c:ptCount val="10"/>
                <c:pt idx="0">
                  <c:v>4253864</c:v>
                </c:pt>
                <c:pt idx="1">
                  <c:v>5270669</c:v>
                </c:pt>
                <c:pt idx="2">
                  <c:v>5756528</c:v>
                </c:pt>
                <c:pt idx="3">
                  <c:v>5774370</c:v>
                </c:pt>
                <c:pt idx="4">
                  <c:v>6096112</c:v>
                </c:pt>
                <c:pt idx="5">
                  <c:v>6410526</c:v>
                </c:pt>
                <c:pt idx="6">
                  <c:v>7294858</c:v>
                </c:pt>
                <c:pt idx="7">
                  <c:v>7485043</c:v>
                </c:pt>
                <c:pt idx="8">
                  <c:v>8358142</c:v>
                </c:pt>
                <c:pt idx="9">
                  <c:v>9352388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1-4D0C-948B-3754E9F017D6}"/>
            </c:ext>
          </c:extLst>
        </c:ser>
        <c:ser>
          <c:idx val="1"/>
          <c:order val="1"/>
          <c:tx>
            <c:strRef>
              <c:f>'Fig 3.37'!$C$5</c:f>
              <c:strCache>
                <c:ptCount val="1"/>
                <c:pt idx="0">
                  <c:v>Empresas Estrangeiras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3.37'!$A$6:$A$15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3.37'!$C$6:$C$15</c:f>
              <c:numCache>
                <c:formatCode>_(* #,##0_);_(* \(#,##0\);_(* "-"??_);_(@_)</c:formatCode>
                <c:ptCount val="10"/>
                <c:pt idx="0">
                  <c:v>8347989</c:v>
                </c:pt>
                <c:pt idx="1">
                  <c:v>10100384</c:v>
                </c:pt>
                <c:pt idx="2">
                  <c:v>12127760</c:v>
                </c:pt>
                <c:pt idx="3">
                  <c:v>13171581</c:v>
                </c:pt>
                <c:pt idx="4">
                  <c:v>13689380</c:v>
                </c:pt>
                <c:pt idx="5">
                  <c:v>14891496</c:v>
                </c:pt>
                <c:pt idx="6">
                  <c:v>14273353</c:v>
                </c:pt>
                <c:pt idx="7">
                  <c:v>13429784</c:v>
                </c:pt>
                <c:pt idx="8">
                  <c:v>13530450</c:v>
                </c:pt>
                <c:pt idx="9">
                  <c:v>14635581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1-4D0C-948B-3754E9F01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4122664"/>
        <c:axId val="394124232"/>
      </c:barChart>
      <c:catAx>
        <c:axId val="3941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124232"/>
        <c:crosses val="autoZero"/>
        <c:auto val="1"/>
        <c:lblAlgn val="ctr"/>
        <c:lblOffset val="100"/>
        <c:noMultiLvlLbl val="0"/>
      </c:catAx>
      <c:valAx>
        <c:axId val="39412423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Passageiros Pagos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94122664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 Pagos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A3D9-419A-9472-B29ABF0DE2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3.38'!$A$6:$A$7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3.38'!$B$6:$B$7</c:f>
              <c:numCache>
                <c:formatCode>0.0%</c:formatCode>
                <c:ptCount val="2"/>
                <c:pt idx="0">
                  <c:v>1.1985630006036865</c:v>
                </c:pt>
                <c:pt idx="1">
                  <c:v>0.75318642609615327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9-419A-9472-B29ABF0DE2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25408"/>
        <c:axId val="394125800"/>
      </c:barChart>
      <c:catAx>
        <c:axId val="3941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125800"/>
        <c:crosses val="autoZero"/>
        <c:auto val="1"/>
        <c:lblAlgn val="ctr"/>
        <c:lblOffset val="100"/>
        <c:noMultiLvlLbl val="0"/>
      </c:catAx>
      <c:valAx>
        <c:axId val="39412580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25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EB4E3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8FA-4CCE-AB4C-9BC10BA910C7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8FA-4CCE-AB4C-9BC10BA910C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3.39'!$A$6:$A$7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3.39'!$B$6:$B$7</c:f>
              <c:numCache>
                <c:formatCode>0.0%</c:formatCode>
                <c:ptCount val="2"/>
                <c:pt idx="0">
                  <c:v>0.11895538506045961</c:v>
                </c:pt>
                <c:pt idx="1">
                  <c:v>8.1677327805061914E-2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6B9B8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8FA-4CCE-AB4C-9BC10BA910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30896"/>
        <c:axId val="394131288"/>
      </c:barChart>
      <c:catAx>
        <c:axId val="3941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4131288"/>
        <c:crosses val="autoZero"/>
        <c:auto val="1"/>
        <c:lblAlgn val="ctr"/>
        <c:lblOffset val="100"/>
        <c:noMultiLvlLbl val="0"/>
      </c:catAx>
      <c:valAx>
        <c:axId val="394131288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30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291035353535351E-2"/>
          <c:y val="3.9351851851851853E-2"/>
          <c:w val="0.8629101957070705"/>
          <c:h val="0.932870370370379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36B-4ED4-9D57-FA2F25F1535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A36B-4ED4-9D57-FA2F25F1535D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A36B-4ED4-9D57-FA2F25F1535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A36B-4ED4-9D57-FA2F25F1535D}"/>
              </c:ext>
            </c:extLst>
          </c:dPt>
          <c:dPt>
            <c:idx val="4"/>
            <c:bubble3D val="0"/>
            <c:spPr>
              <a:solidFill>
                <a:srgbClr val="8B4935"/>
              </a:solidFill>
            </c:spPr>
            <c:extLst>
              <c:ext xmlns:c16="http://schemas.microsoft.com/office/drawing/2014/chart" uri="{C3380CC4-5D6E-409C-BE32-E72D297353CC}">
                <c16:uniqueId val="{00000009-A36B-4ED4-9D57-FA2F25F1535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36B-4ED4-9D57-FA2F25F1535D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A36B-4ED4-9D57-FA2F25F1535D}"/>
              </c:ext>
            </c:extLst>
          </c:dPt>
          <c:dPt>
            <c:idx val="9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36B-4ED4-9D57-FA2F25F1535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3.40'!$A$6:$A$16</c15:sqref>
                  </c15:fullRef>
                </c:ext>
              </c:extLst>
              <c:f>('Fig 3.40'!$A$6:$A$9,'Fig 3.40'!$A$11:$A$16)</c:f>
              <c:strCache>
                <c:ptCount val="10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Avianca</c:v>
                </c:pt>
                <c:pt idx="4">
                  <c:v>TAP</c:v>
                </c:pt>
                <c:pt idx="5">
                  <c:v>American Airlines</c:v>
                </c:pt>
                <c:pt idx="6">
                  <c:v>Copa</c:v>
                </c:pt>
                <c:pt idx="7">
                  <c:v>Aerolineas Argentinas</c:v>
                </c:pt>
                <c:pt idx="8">
                  <c:v>United Air Lines</c:v>
                </c:pt>
                <c:pt idx="9">
                  <c:v>Demais Estrangeiras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3.40'!$B$6:$B$16</c15:sqref>
                  </c15:fullRef>
                </c:ext>
              </c:extLst>
              <c:f>('Fig 3.40'!$B$6:$B$9,'Fig 3.40'!$B$11:$B$16)</c:f>
              <c:numCache>
                <c:formatCode>_(* #,##0_);_(* \(#,##0\);_(* "-"??_);_(@_)</c:formatCode>
                <c:ptCount val="10"/>
                <c:pt idx="0">
                  <c:v>5613106</c:v>
                </c:pt>
                <c:pt idx="1">
                  <c:v>1844349</c:v>
                </c:pt>
                <c:pt idx="2">
                  <c:v>1237656</c:v>
                </c:pt>
                <c:pt idx="3">
                  <c:v>655994</c:v>
                </c:pt>
                <c:pt idx="4">
                  <c:v>1736897</c:v>
                </c:pt>
                <c:pt idx="5">
                  <c:v>1398262</c:v>
                </c:pt>
                <c:pt idx="6">
                  <c:v>1079261</c:v>
                </c:pt>
                <c:pt idx="7">
                  <c:v>987686</c:v>
                </c:pt>
                <c:pt idx="8">
                  <c:v>715201</c:v>
                </c:pt>
                <c:pt idx="9">
                  <c:v>8718274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3.40'!$B$10</c15:sqref>
                  <c15:spPr xmlns:c15="http://schemas.microsoft.com/office/drawing/2012/chart">
                    <a:solidFill>
                      <a:srgbClr val="0070C0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36B-4ED4-9D57-FA2F25F153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2.2'!$A$6:$A$15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2.2'!$B$6:$B$15</c:f>
              <c:numCache>
                <c:formatCode>0.0%</c:formatCode>
                <c:ptCount val="10"/>
                <c:pt idx="0">
                  <c:v>9.2778025781637616E-2</c:v>
                </c:pt>
                <c:pt idx="1">
                  <c:v>0.15267122532788338</c:v>
                </c:pt>
                <c:pt idx="2">
                  <c:v>0.13647928163876158</c:v>
                </c:pt>
                <c:pt idx="3">
                  <c:v>3.6436828594917828E-2</c:v>
                </c:pt>
                <c:pt idx="4">
                  <c:v>-3.6905536050992054E-2</c:v>
                </c:pt>
                <c:pt idx="5">
                  <c:v>-3.252327475479283E-4</c:v>
                </c:pt>
                <c:pt idx="6">
                  <c:v>-7.6000920112429676E-3</c:v>
                </c:pt>
                <c:pt idx="7">
                  <c:v>-0.10908154011809271</c:v>
                </c:pt>
                <c:pt idx="8">
                  <c:v>-2.4739934242440576E-2</c:v>
                </c:pt>
                <c:pt idx="9">
                  <c:v>2.7570762938840754E-2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62-4BC8-8239-FD484B63B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208208"/>
        <c:axId val="132210952"/>
      </c:barChart>
      <c:catAx>
        <c:axId val="13220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2210952"/>
        <c:crosses val="autoZero"/>
        <c:auto val="1"/>
        <c:lblAlgn val="ctr"/>
        <c:lblOffset val="100"/>
        <c:noMultiLvlLbl val="0"/>
      </c:catAx>
      <c:valAx>
        <c:axId val="132210952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1322082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675-4E45-9B49-38A5E10DB6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A675-4E45-9B49-38A5E10DB6B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675-4E45-9B49-38A5E10DB6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675-4E45-9B49-38A5E10DB6B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675-4E45-9B49-38A5E10DB6B0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B-A675-4E45-9B49-38A5E10DB6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A675-4E45-9B49-38A5E10DB6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675-4E45-9B49-38A5E10DB6B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A675-4E45-9B49-38A5E10DB6B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3.41'!$A$6:$A$16</c15:sqref>
                  </c15:fullRef>
                </c:ext>
              </c:extLst>
              <c:f>('Fig 3.41'!$A$6:$A$8,'Fig 3.41'!$A$11:$A$16)</c:f>
              <c:strCache>
                <c:ptCount val="9"/>
                <c:pt idx="0">
                  <c:v>Latam</c:v>
                </c:pt>
                <c:pt idx="1">
                  <c:v>Gol</c:v>
                </c:pt>
                <c:pt idx="2">
                  <c:v>Azul</c:v>
                </c:pt>
                <c:pt idx="3">
                  <c:v>TAP</c:v>
                </c:pt>
                <c:pt idx="4">
                  <c:v>American Airlines</c:v>
                </c:pt>
                <c:pt idx="5">
                  <c:v>Copa</c:v>
                </c:pt>
                <c:pt idx="6">
                  <c:v>Aerolineas Argentinas</c:v>
                </c:pt>
                <c:pt idx="7">
                  <c:v>United Air Lines</c:v>
                </c:pt>
                <c:pt idx="8">
                  <c:v>Demais Estrangeiras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3.41'!$B$6:$B$16</c15:sqref>
                  </c15:fullRef>
                </c:ext>
              </c:extLst>
              <c:f>('Fig 3.41'!$B$6:$B$8,'Fig 3.41'!$B$11:$B$16)</c:f>
              <c:numCache>
                <c:formatCode>0.0%</c:formatCode>
                <c:ptCount val="9"/>
                <c:pt idx="0">
                  <c:v>2.8537388084766802E-2</c:v>
                </c:pt>
                <c:pt idx="1">
                  <c:v>-2.3564490520467607E-2</c:v>
                </c:pt>
                <c:pt idx="2">
                  <c:v>0.55748372556002579</c:v>
                </c:pt>
                <c:pt idx="3">
                  <c:v>8.5926446471655149E-2</c:v>
                </c:pt>
                <c:pt idx="4">
                  <c:v>3.3056961730126844E-3</c:v>
                </c:pt>
                <c:pt idx="5">
                  <c:v>-5.5496994335123562E-3</c:v>
                </c:pt>
                <c:pt idx="6">
                  <c:v>8.4150455037907967E-2</c:v>
                </c:pt>
                <c:pt idx="7">
                  <c:v>7.0248422388392573E-2</c:v>
                </c:pt>
                <c:pt idx="8">
                  <c:v>-3.2977846425082946E-2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3.41'!$B$9</c15:sqref>
                  <c15:spPr xmlns:c15="http://schemas.microsoft.com/office/drawing/2012/chart">
                    <a:solidFill>
                      <a:srgbClr val="FF0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'Fig 3.41'!$B$10</c15:sqref>
                  <c15:spPr xmlns:c15="http://schemas.microsoft.com/office/drawing/2012/chart">
                    <a:solidFill>
                      <a:srgbClr val="8B4935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A675-4E45-9B49-38A5E10DB6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130112"/>
        <c:axId val="394131680"/>
      </c:barChart>
      <c:catAx>
        <c:axId val="3941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4131680"/>
        <c:crosses val="autoZero"/>
        <c:auto val="1"/>
        <c:lblAlgn val="ctr"/>
        <c:lblOffset val="100"/>
        <c:noMultiLvlLbl val="0"/>
      </c:catAx>
      <c:valAx>
        <c:axId val="394131680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4130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3.42'!$C$5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3.42'!$A$6:$A$11</c:f>
              <c:strCache>
                <c:ptCount val="6"/>
                <c:pt idx="0">
                  <c:v>América Do Sul</c:v>
                </c:pt>
                <c:pt idx="1">
                  <c:v>América Do Norte</c:v>
                </c:pt>
                <c:pt idx="2">
                  <c:v>Europa</c:v>
                </c:pt>
                <c:pt idx="3">
                  <c:v>América Central</c:v>
                </c:pt>
                <c:pt idx="4">
                  <c:v>África</c:v>
                </c:pt>
                <c:pt idx="5">
                  <c:v>Ásia</c:v>
                </c:pt>
              </c:strCache>
            </c:strRef>
          </c:cat>
          <c:val>
            <c:numRef>
              <c:f>'Fig 3.42'!$C$6:$C$11</c:f>
              <c:numCache>
                <c:formatCode>_(* #,##0_);_(* \(#,##0\);_(* "-"??_);_(@_)</c:formatCode>
                <c:ptCount val="6"/>
                <c:pt idx="0">
                  <c:v>8808579</c:v>
                </c:pt>
                <c:pt idx="1">
                  <c:v>5544229</c:v>
                </c:pt>
                <c:pt idx="2">
                  <c:v>6716707</c:v>
                </c:pt>
                <c:pt idx="3">
                  <c:v>1188290</c:v>
                </c:pt>
                <c:pt idx="4">
                  <c:v>507549</c:v>
                </c:pt>
                <c:pt idx="5">
                  <c:v>616808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9CC-A463-6909423D7AAF}"/>
            </c:ext>
          </c:extLst>
        </c:ser>
        <c:ser>
          <c:idx val="0"/>
          <c:order val="1"/>
          <c:tx>
            <c:strRef>
              <c:f>'Fig 3.42'!$B$5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3.42'!$A$6:$A$11</c:f>
              <c:strCache>
                <c:ptCount val="6"/>
                <c:pt idx="0">
                  <c:v>América Do Sul</c:v>
                </c:pt>
                <c:pt idx="1">
                  <c:v>América Do Norte</c:v>
                </c:pt>
                <c:pt idx="2">
                  <c:v>Europa</c:v>
                </c:pt>
                <c:pt idx="3">
                  <c:v>América Central</c:v>
                </c:pt>
                <c:pt idx="4">
                  <c:v>África</c:v>
                </c:pt>
                <c:pt idx="5">
                  <c:v>Ásia</c:v>
                </c:pt>
              </c:strCache>
            </c:strRef>
          </c:cat>
          <c:val>
            <c:numRef>
              <c:f>'Fig 3.42'!$B$6:$B$11</c:f>
              <c:numCache>
                <c:formatCode>_(* #,##0_);_(* \(#,##0\);_(* "-"??_);_(@_)</c:formatCode>
                <c:ptCount val="6"/>
                <c:pt idx="0">
                  <c:v>8143027</c:v>
                </c:pt>
                <c:pt idx="1">
                  <c:v>4912893</c:v>
                </c:pt>
                <c:pt idx="2">
                  <c:v>5910911</c:v>
                </c:pt>
                <c:pt idx="3">
                  <c:v>1181405</c:v>
                </c:pt>
                <c:pt idx="4">
                  <c:v>544986</c:v>
                </c:pt>
                <c:pt idx="5">
                  <c:v>674256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49CC-A463-6909423D7A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4130504"/>
        <c:axId val="396514336"/>
      </c:barChart>
      <c:catAx>
        <c:axId val="3941305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6514336"/>
        <c:crosses val="autoZero"/>
        <c:auto val="1"/>
        <c:lblAlgn val="ctr"/>
        <c:lblOffset val="100"/>
        <c:noMultiLvlLbl val="0"/>
      </c:catAx>
      <c:valAx>
        <c:axId val="396514336"/>
        <c:scaling>
          <c:orientation val="minMax"/>
        </c:scaling>
        <c:delete val="0"/>
        <c:axPos val="t"/>
        <c:numFmt formatCode="#,##0.0" sourceLinked="0"/>
        <c:majorTickMark val="out"/>
        <c:minorTickMark val="none"/>
        <c:tickLblPos val="nextTo"/>
        <c:crossAx val="394130504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'Fig 3.43'!$C$5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3.43'!$A$6:$A$25</c:f>
              <c:strCache>
                <c:ptCount val="20"/>
                <c:pt idx="0">
                  <c:v>Estados Unidos</c:v>
                </c:pt>
                <c:pt idx="1">
                  <c:v>Argentina</c:v>
                </c:pt>
                <c:pt idx="2">
                  <c:v>Chile</c:v>
                </c:pt>
                <c:pt idx="3">
                  <c:v>Portugal</c:v>
                </c:pt>
                <c:pt idx="4">
                  <c:v>Panamá</c:v>
                </c:pt>
                <c:pt idx="5">
                  <c:v>Espanha</c:v>
                </c:pt>
                <c:pt idx="6">
                  <c:v>França</c:v>
                </c:pt>
                <c:pt idx="7">
                  <c:v>Peru</c:v>
                </c:pt>
                <c:pt idx="8">
                  <c:v>Alemanha</c:v>
                </c:pt>
                <c:pt idx="9">
                  <c:v>Itália</c:v>
                </c:pt>
                <c:pt idx="10">
                  <c:v>Uruguai</c:v>
                </c:pt>
                <c:pt idx="11">
                  <c:v>Colômbia</c:v>
                </c:pt>
                <c:pt idx="12">
                  <c:v>Reino Unido</c:v>
                </c:pt>
                <c:pt idx="13">
                  <c:v>Holanda</c:v>
                </c:pt>
                <c:pt idx="14">
                  <c:v>Emirados Árabes Unidos</c:v>
                </c:pt>
                <c:pt idx="15">
                  <c:v>Paraguai</c:v>
                </c:pt>
                <c:pt idx="16">
                  <c:v>México</c:v>
                </c:pt>
                <c:pt idx="17">
                  <c:v>Suíça</c:v>
                </c:pt>
                <c:pt idx="18">
                  <c:v>África Do Sul</c:v>
                </c:pt>
                <c:pt idx="19">
                  <c:v>Canadá</c:v>
                </c:pt>
              </c:strCache>
            </c:strRef>
          </c:cat>
          <c:val>
            <c:numRef>
              <c:f>'Fig 3.43'!$C$6:$C$25</c:f>
              <c:numCache>
                <c:formatCode>_(* #,##0_);_(* \(#,##0\);_(* "-"??_);_(@_)</c:formatCode>
                <c:ptCount val="20"/>
                <c:pt idx="0">
                  <c:v>5000898</c:v>
                </c:pt>
                <c:pt idx="1">
                  <c:v>4029197</c:v>
                </c:pt>
                <c:pt idx="2">
                  <c:v>2075619</c:v>
                </c:pt>
                <c:pt idx="3">
                  <c:v>1946623</c:v>
                </c:pt>
                <c:pt idx="4">
                  <c:v>1077263</c:v>
                </c:pt>
                <c:pt idx="5">
                  <c:v>1051451</c:v>
                </c:pt>
                <c:pt idx="6">
                  <c:v>947831</c:v>
                </c:pt>
                <c:pt idx="7">
                  <c:v>767674</c:v>
                </c:pt>
                <c:pt idx="8">
                  <c:v>747519</c:v>
                </c:pt>
                <c:pt idx="9">
                  <c:v>708249</c:v>
                </c:pt>
                <c:pt idx="10">
                  <c:v>677806</c:v>
                </c:pt>
                <c:pt idx="11">
                  <c:v>668022</c:v>
                </c:pt>
                <c:pt idx="12">
                  <c:v>557772</c:v>
                </c:pt>
                <c:pt idx="13">
                  <c:v>487960</c:v>
                </c:pt>
                <c:pt idx="14">
                  <c:v>373188</c:v>
                </c:pt>
                <c:pt idx="15">
                  <c:v>325907</c:v>
                </c:pt>
                <c:pt idx="16">
                  <c:v>321302</c:v>
                </c:pt>
                <c:pt idx="17">
                  <c:v>264515</c:v>
                </c:pt>
                <c:pt idx="18">
                  <c:v>229683</c:v>
                </c:pt>
                <c:pt idx="19">
                  <c:v>222029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D-4A63-BD5B-5293D941457D}"/>
            </c:ext>
          </c:extLst>
        </c:ser>
        <c:ser>
          <c:idx val="0"/>
          <c:order val="1"/>
          <c:tx>
            <c:strRef>
              <c:f>'Fig 3.43'!$B$5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3.43'!$A$6:$A$25</c:f>
              <c:strCache>
                <c:ptCount val="20"/>
                <c:pt idx="0">
                  <c:v>Estados Unidos</c:v>
                </c:pt>
                <c:pt idx="1">
                  <c:v>Argentina</c:v>
                </c:pt>
                <c:pt idx="2">
                  <c:v>Chile</c:v>
                </c:pt>
                <c:pt idx="3">
                  <c:v>Portugal</c:v>
                </c:pt>
                <c:pt idx="4">
                  <c:v>Panamá</c:v>
                </c:pt>
                <c:pt idx="5">
                  <c:v>Espanha</c:v>
                </c:pt>
                <c:pt idx="6">
                  <c:v>França</c:v>
                </c:pt>
                <c:pt idx="7">
                  <c:v>Peru</c:v>
                </c:pt>
                <c:pt idx="8">
                  <c:v>Alemanha</c:v>
                </c:pt>
                <c:pt idx="9">
                  <c:v>Itália</c:v>
                </c:pt>
                <c:pt idx="10">
                  <c:v>Uruguai</c:v>
                </c:pt>
                <c:pt idx="11">
                  <c:v>Colômbia</c:v>
                </c:pt>
                <c:pt idx="12">
                  <c:v>Reino Unido</c:v>
                </c:pt>
                <c:pt idx="13">
                  <c:v>Holanda</c:v>
                </c:pt>
                <c:pt idx="14">
                  <c:v>Emirados Árabes Unidos</c:v>
                </c:pt>
                <c:pt idx="15">
                  <c:v>Paraguai</c:v>
                </c:pt>
                <c:pt idx="16">
                  <c:v>México</c:v>
                </c:pt>
                <c:pt idx="17">
                  <c:v>Suíça</c:v>
                </c:pt>
                <c:pt idx="18">
                  <c:v>África Do Sul</c:v>
                </c:pt>
                <c:pt idx="19">
                  <c:v>Canadá</c:v>
                </c:pt>
              </c:strCache>
            </c:strRef>
          </c:cat>
          <c:val>
            <c:numRef>
              <c:f>'Fig 3.43'!$B$6:$B$25</c:f>
              <c:numCache>
                <c:formatCode>_(* #,##0_);_(* \(#,##0\);_(* "-"??_);_(@_)</c:formatCode>
                <c:ptCount val="20"/>
                <c:pt idx="0">
                  <c:v>4409280</c:v>
                </c:pt>
                <c:pt idx="1">
                  <c:v>3822362</c:v>
                </c:pt>
                <c:pt idx="2">
                  <c:v>1703098</c:v>
                </c:pt>
                <c:pt idx="3">
                  <c:v>1746910</c:v>
                </c:pt>
                <c:pt idx="4">
                  <c:v>1085230</c:v>
                </c:pt>
                <c:pt idx="5">
                  <c:v>933848</c:v>
                </c:pt>
                <c:pt idx="6">
                  <c:v>835431</c:v>
                </c:pt>
                <c:pt idx="7">
                  <c:v>710051</c:v>
                </c:pt>
                <c:pt idx="8">
                  <c:v>777233</c:v>
                </c:pt>
                <c:pt idx="9">
                  <c:v>498442</c:v>
                </c:pt>
                <c:pt idx="10">
                  <c:v>705488</c:v>
                </c:pt>
                <c:pt idx="11">
                  <c:v>622523</c:v>
                </c:pt>
                <c:pt idx="12">
                  <c:v>497852</c:v>
                </c:pt>
                <c:pt idx="13">
                  <c:v>414910</c:v>
                </c:pt>
                <c:pt idx="14">
                  <c:v>416490</c:v>
                </c:pt>
                <c:pt idx="15">
                  <c:v>322355</c:v>
                </c:pt>
                <c:pt idx="16">
                  <c:v>310517</c:v>
                </c:pt>
                <c:pt idx="17">
                  <c:v>203539</c:v>
                </c:pt>
                <c:pt idx="18">
                  <c:v>226683</c:v>
                </c:pt>
                <c:pt idx="19">
                  <c:v>193096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D-4A63-BD5B-5293D9414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6515512"/>
        <c:axId val="396520216"/>
      </c:barChart>
      <c:catAx>
        <c:axId val="396515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6520216"/>
        <c:crosses val="autoZero"/>
        <c:auto val="1"/>
        <c:lblAlgn val="ctr"/>
        <c:lblOffset val="100"/>
        <c:noMultiLvlLbl val="0"/>
      </c:catAx>
      <c:valAx>
        <c:axId val="396520216"/>
        <c:scaling>
          <c:orientation val="minMax"/>
        </c:scaling>
        <c:delete val="0"/>
        <c:axPos val="t"/>
        <c:numFmt formatCode="#,##0.0" sourceLinked="0"/>
        <c:majorTickMark val="out"/>
        <c:minorTickMark val="none"/>
        <c:tickLblPos val="nextTo"/>
        <c:crossAx val="396515512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pt-BR"/>
                    <a:t>Milhões de Passageiros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1312814749514433E-2"/>
          <c:y val="5.0278240740740728E-2"/>
          <c:w val="0.91776503280379518"/>
          <c:h val="0.77293726851853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  <a:ln w="22225"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3.44'!$A$6:$A$15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3.44'!$B$6:$B$15</c:f>
              <c:numCache>
                <c:formatCode>_(* #,##0_);_(* \(#,##0\);_(* "-"??_);_(@_)</c:formatCode>
                <c:ptCount val="10"/>
                <c:pt idx="0">
                  <c:v>76019794226</c:v>
                </c:pt>
                <c:pt idx="1">
                  <c:v>92093443332</c:v>
                </c:pt>
                <c:pt idx="2">
                  <c:v>105458573201</c:v>
                </c:pt>
                <c:pt idx="3">
                  <c:v>115039217850</c:v>
                </c:pt>
                <c:pt idx="4">
                  <c:v>120157838541</c:v>
                </c:pt>
                <c:pt idx="5">
                  <c:v>130228192384</c:v>
                </c:pt>
                <c:pt idx="6">
                  <c:v>131300589271</c:v>
                </c:pt>
                <c:pt idx="7">
                  <c:v>126534846080</c:v>
                </c:pt>
                <c:pt idx="8">
                  <c:v>129067597919</c:v>
                </c:pt>
                <c:pt idx="9">
                  <c:v>141248284432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EB9-B1E6-8B221432D0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19040"/>
        <c:axId val="396518256"/>
      </c:barChart>
      <c:catAx>
        <c:axId val="3965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6518256"/>
        <c:crosses val="autoZero"/>
        <c:auto val="1"/>
        <c:lblAlgn val="ctr"/>
        <c:lblOffset val="100"/>
        <c:noMultiLvlLbl val="0"/>
      </c:catAx>
      <c:valAx>
        <c:axId val="39651825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Bilhões de RPK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396519040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8246533957235501E-2"/>
                <c:y val="5.0278417730900068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 de RPK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1703303424648344E-2"/>
          <c:y val="4.1666666666666664E-2"/>
          <c:w val="0.95516570000765544"/>
          <c:h val="0.81677493438321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  <a:ln>
              <a:noFill/>
            </a:ln>
          </c:spPr>
          <c:invertIfNegative val="1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3.45'!$A$6:$A$15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3.45'!$B$6:$B$15</c:f>
              <c:numCache>
                <c:formatCode>0.00%</c:formatCode>
                <c:ptCount val="10"/>
                <c:pt idx="0">
                  <c:v>-3.3814068566244089E-2</c:v>
                </c:pt>
                <c:pt idx="1">
                  <c:v>0.21144031327175775</c:v>
                </c:pt>
                <c:pt idx="2">
                  <c:v>0.14512574821226146</c:v>
                </c:pt>
                <c:pt idx="3">
                  <c:v>9.0847470795377236E-2</c:v>
                </c:pt>
                <c:pt idx="4">
                  <c:v>4.4494571387595716E-2</c:v>
                </c:pt>
                <c:pt idx="5">
                  <c:v>8.3809379107329857E-2</c:v>
                </c:pt>
                <c:pt idx="6">
                  <c:v>8.2347521482741253E-3</c:v>
                </c:pt>
                <c:pt idx="7">
                  <c:v>-3.6296434139862589E-2</c:v>
                </c:pt>
                <c:pt idx="8">
                  <c:v>2.0016239932822148E-2</c:v>
                </c:pt>
                <c:pt idx="9">
                  <c:v>9.4374472829689846E-2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C0-4796-BE62-05B6F9C37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10808"/>
        <c:axId val="396511984"/>
      </c:barChart>
      <c:catAx>
        <c:axId val="3965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6511984"/>
        <c:crosses val="autoZero"/>
        <c:auto val="1"/>
        <c:lblAlgn val="ctr"/>
        <c:lblOffset val="100"/>
        <c:noMultiLvlLbl val="0"/>
      </c:catAx>
      <c:valAx>
        <c:axId val="39651198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108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3.46'!$B$5</c:f>
              <c:strCache>
                <c:ptCount val="1"/>
                <c:pt idx="0">
                  <c:v>RPK Empresas Brasileiras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3.46'!$A$6:$A$15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3.46'!$B$6:$B$15</c:f>
              <c:numCache>
                <c:formatCode>_(* #,##0_);_(* \(#,##0\);_(* "-"??_);_(@_)</c:formatCode>
                <c:ptCount val="10"/>
                <c:pt idx="0">
                  <c:v>19522497876</c:v>
                </c:pt>
                <c:pt idx="1">
                  <c:v>23711344326</c:v>
                </c:pt>
                <c:pt idx="2">
                  <c:v>26353842595</c:v>
                </c:pt>
                <c:pt idx="3">
                  <c:v>26439915242</c:v>
                </c:pt>
                <c:pt idx="4">
                  <c:v>27787771816</c:v>
                </c:pt>
                <c:pt idx="5">
                  <c:v>29142337285</c:v>
                </c:pt>
                <c:pt idx="6">
                  <c:v>33153575587</c:v>
                </c:pt>
                <c:pt idx="7">
                  <c:v>33049417334</c:v>
                </c:pt>
                <c:pt idx="8">
                  <c:v>37023763275</c:v>
                </c:pt>
                <c:pt idx="9">
                  <c:v>43157049671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7-4948-91E2-DD834645E67A}"/>
            </c:ext>
          </c:extLst>
        </c:ser>
        <c:ser>
          <c:idx val="1"/>
          <c:order val="1"/>
          <c:tx>
            <c:strRef>
              <c:f>'Fig 3.46'!$C$5</c:f>
              <c:strCache>
                <c:ptCount val="1"/>
                <c:pt idx="0">
                  <c:v>RPK Empresas Estrangeiras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 3.46'!$A$6:$A$15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 3.46'!$C$6:$C$15</c:f>
              <c:numCache>
                <c:formatCode>_(* #,##0_);_(* \(#,##0\);_(* "-"??_);_(@_)</c:formatCode>
                <c:ptCount val="10"/>
                <c:pt idx="0">
                  <c:v>56497296350</c:v>
                </c:pt>
                <c:pt idx="1">
                  <c:v>68382099006</c:v>
                </c:pt>
                <c:pt idx="2">
                  <c:v>79104730606</c:v>
                </c:pt>
                <c:pt idx="3">
                  <c:v>88599302608</c:v>
                </c:pt>
                <c:pt idx="4">
                  <c:v>92370066725</c:v>
                </c:pt>
                <c:pt idx="5">
                  <c:v>101085855099</c:v>
                </c:pt>
                <c:pt idx="6">
                  <c:v>98147013684</c:v>
                </c:pt>
                <c:pt idx="7">
                  <c:v>93485428746</c:v>
                </c:pt>
                <c:pt idx="8">
                  <c:v>92043834644</c:v>
                </c:pt>
                <c:pt idx="9">
                  <c:v>98091234761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7-4948-91E2-DD834645E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5"/>
        <c:axId val="396519824"/>
        <c:axId val="396513552"/>
      </c:barChart>
      <c:catAx>
        <c:axId val="39651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513552"/>
        <c:crosses val="autoZero"/>
        <c:auto val="1"/>
        <c:lblAlgn val="ctr"/>
        <c:lblOffset val="100"/>
        <c:noMultiLvlLbl val="0"/>
      </c:catAx>
      <c:valAx>
        <c:axId val="39651355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Bilhões de RPK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96519824"/>
        <c:crosses val="autoZero"/>
        <c:crossBetween val="between"/>
        <c:dispUnits>
          <c:builtInUnit val="b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Bilhões de RPK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B1B2-4D93-AE86-B329C472BE5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3.47'!$A$6:$A$7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3.47'!$B$6:$B$7</c:f>
              <c:numCache>
                <c:formatCode>0.0%</c:formatCode>
                <c:ptCount val="2"/>
                <c:pt idx="0">
                  <c:v>1.2106315464915562</c:v>
                </c:pt>
                <c:pt idx="1">
                  <c:v>0.73621113041102182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2-4D93-AE86-B329C472BE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09632"/>
        <c:axId val="396510416"/>
      </c:barChart>
      <c:catAx>
        <c:axId val="39650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510416"/>
        <c:crosses val="autoZero"/>
        <c:auto val="1"/>
        <c:lblAlgn val="ctr"/>
        <c:lblOffset val="100"/>
        <c:noMultiLvlLbl val="0"/>
      </c:catAx>
      <c:valAx>
        <c:axId val="396510416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09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5B3D7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104-463E-99F1-AF969451DE3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 3.48'!$A$6:$A$7</c:f>
              <c:strCache>
                <c:ptCount val="2"/>
                <c:pt idx="0">
                  <c:v>Empresas Brasileiras</c:v>
                </c:pt>
                <c:pt idx="1">
                  <c:v>Empresas Estrangeiras</c:v>
                </c:pt>
              </c:strCache>
            </c:strRef>
          </c:cat>
          <c:val>
            <c:numRef>
              <c:f>'Fig 3.48'!$B$6:$B$7</c:f>
              <c:numCache>
                <c:formatCode>0.0%</c:formatCode>
                <c:ptCount val="2"/>
                <c:pt idx="0">
                  <c:v>0.1656581031605032</c:v>
                </c:pt>
                <c:pt idx="1">
                  <c:v>6.5701305691898484E-2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9694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104-463E-99F1-AF969451DE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11592"/>
        <c:axId val="396513944"/>
      </c:barChart>
      <c:catAx>
        <c:axId val="39651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96513944"/>
        <c:crosses val="autoZero"/>
        <c:auto val="1"/>
        <c:lblAlgn val="ctr"/>
        <c:lblOffset val="100"/>
        <c:noMultiLvlLbl val="0"/>
      </c:catAx>
      <c:valAx>
        <c:axId val="39651394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11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247474747474784E-3"/>
          <c:y val="2.9786266984023892E-2"/>
          <c:w val="0.89698532196969649"/>
          <c:h val="0.9683312547025362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1BD-4520-8A49-D5BEB80AA51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A1BD-4520-8A49-D5BEB80AA517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A1BD-4520-8A49-D5BEB80AA517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A1BD-4520-8A49-D5BEB80AA517}"/>
              </c:ext>
            </c:extLst>
          </c:dPt>
          <c:dPt>
            <c:idx val="4"/>
            <c:bubble3D val="0"/>
            <c:spPr>
              <a:solidFill>
                <a:srgbClr val="8B4935"/>
              </a:solidFill>
            </c:spPr>
            <c:extLst>
              <c:ext xmlns:c16="http://schemas.microsoft.com/office/drawing/2014/chart" uri="{C3380CC4-5D6E-409C-BE32-E72D297353CC}">
                <c16:uniqueId val="{00000009-A1BD-4520-8A49-D5BEB80AA517}"/>
              </c:ext>
            </c:extLst>
          </c:dPt>
          <c:dPt>
            <c:idx val="6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B-A1BD-4520-8A49-D5BEB80AA517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D-A1BD-4520-8A49-D5BEB80AA517}"/>
              </c:ext>
            </c:extLst>
          </c:dPt>
          <c:dPt>
            <c:idx val="8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1BD-4520-8A49-D5BEB80AA517}"/>
              </c:ext>
            </c:extLst>
          </c:dPt>
          <c:dPt>
            <c:idx val="9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A1BD-4520-8A49-D5BEB80AA517}"/>
              </c:ext>
            </c:extLst>
          </c:dPt>
          <c:dLbls>
            <c:dLbl>
              <c:idx val="3"/>
              <c:layout>
                <c:manualLayout>
                  <c:x val="3.1142493877650882E-3"/>
                  <c:y val="-1.58735619353646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BD-4520-8A49-D5BEB80AA51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3.49'!$A$6:$A$16</c15:sqref>
                  </c15:fullRef>
                </c:ext>
              </c:extLst>
              <c:f>('Fig 3.49'!$A$6:$A$9,'Fig 3.49'!$A$11:$A$16)</c:f>
              <c:strCache>
                <c:ptCount val="10"/>
                <c:pt idx="0">
                  <c:v> Latam </c:v>
                </c:pt>
                <c:pt idx="1">
                  <c:v> Azul </c:v>
                </c:pt>
                <c:pt idx="2">
                  <c:v> Gol </c:v>
                </c:pt>
                <c:pt idx="3">
                  <c:v> Avianca </c:v>
                </c:pt>
                <c:pt idx="4">
                  <c:v> TAP </c:v>
                </c:pt>
                <c:pt idx="5">
                  <c:v> American Airlines </c:v>
                </c:pt>
                <c:pt idx="6">
                  <c:v> Emirates </c:v>
                </c:pt>
                <c:pt idx="7">
                  <c:v> Air France </c:v>
                </c:pt>
                <c:pt idx="8">
                  <c:v> United Air Lines </c:v>
                </c:pt>
                <c:pt idx="9">
                  <c:v> Demais Estrangeiras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3.49'!$B$6:$B$16</c15:sqref>
                  </c15:fullRef>
                </c:ext>
              </c:extLst>
              <c:f>('Fig 3.49'!$B$6:$B$9,'Fig 3.49'!$B$11:$B$16)</c:f>
              <c:numCache>
                <c:formatCode>_(* #,##0_);_(* \(#,##0\);_(* "-"??_);_(@_)</c:formatCode>
                <c:ptCount val="10"/>
                <c:pt idx="0">
                  <c:v>29558250603</c:v>
                </c:pt>
                <c:pt idx="1">
                  <c:v>6299986225</c:v>
                </c:pt>
                <c:pt idx="2">
                  <c:v>4159298070</c:v>
                </c:pt>
                <c:pt idx="3">
                  <c:v>3137299634</c:v>
                </c:pt>
                <c:pt idx="4">
                  <c:v>12390969518</c:v>
                </c:pt>
                <c:pt idx="5">
                  <c:v>10173173314</c:v>
                </c:pt>
                <c:pt idx="6">
                  <c:v>7638169638</c:v>
                </c:pt>
                <c:pt idx="7">
                  <c:v>6390143642</c:v>
                </c:pt>
                <c:pt idx="8">
                  <c:v>5847101887</c:v>
                </c:pt>
                <c:pt idx="9">
                  <c:v>55651676762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3.49'!$B$10</c15:sqref>
                  <c15:spPr xmlns:c15="http://schemas.microsoft.com/office/drawing/2012/chart">
                    <a:solidFill>
                      <a:srgbClr val="0070C0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A1BD-4520-8A49-D5BEB80AA5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BA13-4EC2-91B7-8FB941B22ED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13-4EC2-91B7-8FB941B22E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BA13-4EC2-91B7-8FB941B22E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BA13-4EC2-91B7-8FB941B22E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BA13-4EC2-91B7-8FB941B22ED1}"/>
              </c:ext>
            </c:extLst>
          </c:dPt>
          <c:dPt>
            <c:idx val="5"/>
            <c:invertIfNegative val="0"/>
            <c:bubble3D val="0"/>
            <c:spPr>
              <a:solidFill>
                <a:srgbClr val="B4B000"/>
              </a:solidFill>
            </c:spPr>
            <c:extLst>
              <c:ext xmlns:c16="http://schemas.microsoft.com/office/drawing/2014/chart" uri="{C3380CC4-5D6E-409C-BE32-E72D297353CC}">
                <c16:uniqueId val="{0000000A-BA13-4EC2-91B7-8FB941B22E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BA13-4EC2-91B7-8FB941B22E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BA13-4EC2-91B7-8FB941B22ED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BA13-4EC2-91B7-8FB941B22ED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 3.50'!$A$6:$A$16</c15:sqref>
                  </c15:fullRef>
                </c:ext>
              </c:extLst>
              <c:f>('Fig 3.50'!$A$6:$A$8,'Fig 3.50'!$A$11:$A$16)</c:f>
              <c:strCache>
                <c:ptCount val="9"/>
                <c:pt idx="0">
                  <c:v>Latam</c:v>
                </c:pt>
                <c:pt idx="1">
                  <c:v>Azul</c:v>
                </c:pt>
                <c:pt idx="2">
                  <c:v>Gol</c:v>
                </c:pt>
                <c:pt idx="3">
                  <c:v>TAP</c:v>
                </c:pt>
                <c:pt idx="4">
                  <c:v>American Airlines</c:v>
                </c:pt>
                <c:pt idx="5">
                  <c:v>Emirates</c:v>
                </c:pt>
                <c:pt idx="6">
                  <c:v>Air France</c:v>
                </c:pt>
                <c:pt idx="7">
                  <c:v>United Air Lines</c:v>
                </c:pt>
                <c:pt idx="8">
                  <c:v>Demais Estrangeiras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 3.50'!$B$6:$B$16</c15:sqref>
                  </c15:fullRef>
                </c:ext>
              </c:extLst>
              <c:f>('Fig 3.50'!$B$6:$B$8,'Fig 3.50'!$B$11:$B$16)</c:f>
              <c:numCache>
                <c:formatCode>0.0%</c:formatCode>
                <c:ptCount val="9"/>
                <c:pt idx="0">
                  <c:v>6.6157140715125351E-2</c:v>
                </c:pt>
                <c:pt idx="1">
                  <c:v>0.44149917231087366</c:v>
                </c:pt>
                <c:pt idx="2">
                  <c:v>4.4914215491406839E-2</c:v>
                </c:pt>
                <c:pt idx="3">
                  <c:v>7.8849909033900545E-2</c:v>
                </c:pt>
                <c:pt idx="4">
                  <c:v>1.7878331581664852E-2</c:v>
                </c:pt>
                <c:pt idx="5">
                  <c:v>1.7885665932151129E-2</c:v>
                </c:pt>
                <c:pt idx="6">
                  <c:v>0.12563463197136393</c:v>
                </c:pt>
                <c:pt idx="7">
                  <c:v>7.1737182747912964E-2</c:v>
                </c:pt>
                <c:pt idx="8">
                  <c:v>7.1721042693611903E-2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 3.50'!$B$9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'Fig 3.50'!$B$10</c15:sqref>
                  <c15:spPr xmlns:c15="http://schemas.microsoft.com/office/drawing/2012/chart">
                    <a:solidFill>
                      <a:srgbClr val="0070C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BA13-4EC2-91B7-8FB941B22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6514728"/>
        <c:axId val="396510024"/>
      </c:barChart>
      <c:catAx>
        <c:axId val="39651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96510024"/>
        <c:crosses val="autoZero"/>
        <c:auto val="1"/>
        <c:lblAlgn val="ctr"/>
        <c:lblOffset val="100"/>
        <c:noMultiLvlLbl val="0"/>
      </c:catAx>
      <c:valAx>
        <c:axId val="396510024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crossAx val="396514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&#205;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hyperlink" Target="#&#205;ndic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hyperlink" Target="#&#205;ndic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hyperlink" Target="#&#205;ndic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hyperlink" Target="#&#205;ndic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hyperlink" Target="#&#205;ndic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hyperlink" Target="#&#205;ndic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hyperlink" Target="#&#205;ndic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hyperlink" Target="#&#205;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&#205;ndic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hyperlink" Target="#&#205;ndice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hyperlink" Target="#&#205;ndice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hyperlink" Target="#&#205;ndic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hyperlink" Target="#&#205;ndic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hyperlink" Target="#&#205;ndic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hyperlink" Target="#&#205;ndic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7.xml"/><Relationship Id="rId1" Type="http://schemas.openxmlformats.org/officeDocument/2006/relationships/hyperlink" Target="#&#205;ndic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hyperlink" Target="#&#205;ndic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hyperlink" Target="#&#205;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&#205;ndic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hyperlink" Target="#&#205;ndic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1.xml"/><Relationship Id="rId1" Type="http://schemas.openxmlformats.org/officeDocument/2006/relationships/hyperlink" Target="#&#205;ndic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hyperlink" Target="#&#205;ndic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hyperlink" Target="#&#205;ndic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hyperlink" Target="#&#205;ndic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hyperlink" Target="#&#205;ndic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hyperlink" Target="#&#205;ndic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7.xml"/><Relationship Id="rId1" Type="http://schemas.openxmlformats.org/officeDocument/2006/relationships/hyperlink" Target="#&#205;ndic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hyperlink" Target="#&#205;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&#205;ndic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hyperlink" Target="#&#205;ndice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hyperlink" Target="#&#205;ndice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hyperlink" Target="#&#205;ndice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hyperlink" Target="#&#205;ndice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hyperlink" Target="#&#205;ndice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hyperlink" Target="#&#205;ndice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hyperlink" Target="#&#205;ndice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hyperlink" Target="#&#205;ndice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hyperlink" Target="#&#205;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hyperlink" Target="#&#205;ndice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hyperlink" Target="#&#205;ndice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hyperlink" Target="#&#205;ndice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hyperlink" Target="#&#205;ndice!A1"/></Relationships>
</file>

<file path=xl/drawings/_rels/drawing1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hyperlink" Target="#&#205;ndice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hyperlink" Target="#&#205;ndice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hyperlink" Target="#&#205;ndice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5.xml"/><Relationship Id="rId1" Type="http://schemas.openxmlformats.org/officeDocument/2006/relationships/hyperlink" Target="#&#205;ndice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hyperlink" Target="#&#205;ndice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hyperlink" Target="#&#205;ndice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hyperlink" Target="#&#205;ndice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hyperlink" Target="#&#205;ndice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0.xml"/><Relationship Id="rId1" Type="http://schemas.openxmlformats.org/officeDocument/2006/relationships/hyperlink" Target="#&#205;ndice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1.xml"/><Relationship Id="rId1" Type="http://schemas.openxmlformats.org/officeDocument/2006/relationships/hyperlink" Target="#&#205;ndice!A1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hyperlink" Target="#&#205;ndice!A1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3.xml"/><Relationship Id="rId1" Type="http://schemas.openxmlformats.org/officeDocument/2006/relationships/hyperlink" Target="#&#205;ndice!A1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4.xml"/><Relationship Id="rId1" Type="http://schemas.openxmlformats.org/officeDocument/2006/relationships/hyperlink" Target="#&#205;ndice!A1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5.xml"/><Relationship Id="rId1" Type="http://schemas.openxmlformats.org/officeDocument/2006/relationships/hyperlink" Target="#&#205;ndice!A1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hyperlink" Target="#&#205;ndice!A1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hyperlink" Target="#&#205;ndice!A1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8.xml"/><Relationship Id="rId1" Type="http://schemas.openxmlformats.org/officeDocument/2006/relationships/hyperlink" Target="#&#205;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hyperlink" Target="#&#205;ndice!A1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9.xml"/><Relationship Id="rId1" Type="http://schemas.openxmlformats.org/officeDocument/2006/relationships/hyperlink" Target="#&#205;ndice!A1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0.xml"/><Relationship Id="rId1" Type="http://schemas.openxmlformats.org/officeDocument/2006/relationships/hyperlink" Target="#&#205;ndice!A1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1.xml"/><Relationship Id="rId1" Type="http://schemas.openxmlformats.org/officeDocument/2006/relationships/hyperlink" Target="#&#205;ndice!A1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2.xml"/><Relationship Id="rId1" Type="http://schemas.openxmlformats.org/officeDocument/2006/relationships/hyperlink" Target="#&#205;ndice!A1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3.xml"/><Relationship Id="rId1" Type="http://schemas.openxmlformats.org/officeDocument/2006/relationships/hyperlink" Target="#&#205;ndice!A1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4.xml"/><Relationship Id="rId1" Type="http://schemas.openxmlformats.org/officeDocument/2006/relationships/hyperlink" Target="#&#205;ndice!A1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5.xml"/><Relationship Id="rId1" Type="http://schemas.openxmlformats.org/officeDocument/2006/relationships/hyperlink" Target="#&#205;ndice!A1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6.xml"/><Relationship Id="rId1" Type="http://schemas.openxmlformats.org/officeDocument/2006/relationships/hyperlink" Target="#&#205;ndice!A1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7.xml"/><Relationship Id="rId1" Type="http://schemas.openxmlformats.org/officeDocument/2006/relationships/hyperlink" Target="#&#205;ndice!A1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8.xml"/><Relationship Id="rId1" Type="http://schemas.openxmlformats.org/officeDocument/2006/relationships/hyperlink" Target="#&#205;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hyperlink" Target="#&#205;ndice!A1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9.xml"/><Relationship Id="rId1" Type="http://schemas.openxmlformats.org/officeDocument/2006/relationships/hyperlink" Target="#&#205;ndice!A1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0.xml"/><Relationship Id="rId1" Type="http://schemas.openxmlformats.org/officeDocument/2006/relationships/hyperlink" Target="#&#205;ndice!A1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1.xml"/><Relationship Id="rId1" Type="http://schemas.openxmlformats.org/officeDocument/2006/relationships/hyperlink" Target="#&#205;ndice!A1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2.xml"/><Relationship Id="rId1" Type="http://schemas.openxmlformats.org/officeDocument/2006/relationships/hyperlink" Target="#&#205;ndice!A1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3.xml"/><Relationship Id="rId1" Type="http://schemas.openxmlformats.org/officeDocument/2006/relationships/hyperlink" Target="#&#205;ndice!A1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4.xml"/><Relationship Id="rId1" Type="http://schemas.openxmlformats.org/officeDocument/2006/relationships/hyperlink" Target="#&#205;ndice!A1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5.xml"/><Relationship Id="rId1" Type="http://schemas.openxmlformats.org/officeDocument/2006/relationships/hyperlink" Target="#&#205;ndice!A1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6.xml"/><Relationship Id="rId1" Type="http://schemas.openxmlformats.org/officeDocument/2006/relationships/hyperlink" Target="#&#205;ndice!A1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7.xml"/><Relationship Id="rId1" Type="http://schemas.openxmlformats.org/officeDocument/2006/relationships/hyperlink" Target="#&#205;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hyperlink" Target="#&#205;ndice!A1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8.xml"/><Relationship Id="rId1" Type="http://schemas.openxmlformats.org/officeDocument/2006/relationships/hyperlink" Target="#&#205;ndice!A1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9.xml"/><Relationship Id="rId1" Type="http://schemas.openxmlformats.org/officeDocument/2006/relationships/hyperlink" Target="#&#205;ndice!A1"/></Relationships>
</file>

<file path=xl/drawings/_rels/drawing18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hyperlink" Target="#&#205;ndice!A1"/></Relationships>
</file>

<file path=xl/drawings/_rels/drawing18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1.xml"/><Relationship Id="rId1" Type="http://schemas.openxmlformats.org/officeDocument/2006/relationships/hyperlink" Target="#&#205;ndice!A1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hyperlink" Target="#&#205;ndice!A1"/></Relationships>
</file>

<file path=xl/drawings/_rels/drawing18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3.xml"/><Relationship Id="rId1" Type="http://schemas.openxmlformats.org/officeDocument/2006/relationships/hyperlink" Target="#&#205;ndice!A1"/></Relationships>
</file>

<file path=xl/drawings/_rels/drawing18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4.xml"/><Relationship Id="rId1" Type="http://schemas.openxmlformats.org/officeDocument/2006/relationships/hyperlink" Target="#&#205;ndice!A1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5.xml"/><Relationship Id="rId1" Type="http://schemas.openxmlformats.org/officeDocument/2006/relationships/hyperlink" Target="#&#205;ndice!A1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6.xml"/><Relationship Id="rId1" Type="http://schemas.openxmlformats.org/officeDocument/2006/relationships/hyperlink" Target="#&#205;ndice!A1"/></Relationships>
</file>

<file path=xl/drawings/_rels/drawing19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7.xml"/><Relationship Id="rId1" Type="http://schemas.openxmlformats.org/officeDocument/2006/relationships/hyperlink" Target="#&#205;ndice!A1"/></Relationships>
</file>

<file path=xl/drawings/_rels/drawing19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8.xml"/><Relationship Id="rId1" Type="http://schemas.openxmlformats.org/officeDocument/2006/relationships/hyperlink" Target="#&#205;ndice!A1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9.xml"/><Relationship Id="rId1" Type="http://schemas.openxmlformats.org/officeDocument/2006/relationships/hyperlink" Target="#&#205;ndice!A1"/></Relationships>
</file>

<file path=xl/drawings/_rels/drawing19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0.xml"/><Relationship Id="rId1" Type="http://schemas.openxmlformats.org/officeDocument/2006/relationships/hyperlink" Target="#&#205;ndice!A1"/></Relationships>
</file>

<file path=xl/drawings/_rels/drawing19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1.xml"/><Relationship Id="rId1" Type="http://schemas.openxmlformats.org/officeDocument/2006/relationships/hyperlink" Target="#&#205;ndice!A1"/></Relationships>
</file>

<file path=xl/drawings/_rels/drawing19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2.xml"/><Relationship Id="rId1" Type="http://schemas.openxmlformats.org/officeDocument/2006/relationships/hyperlink" Target="#&#205;ndice!A1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3.xml"/><Relationship Id="rId1" Type="http://schemas.openxmlformats.org/officeDocument/2006/relationships/hyperlink" Target="#&#205;ndice!A1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4.xml"/><Relationship Id="rId1" Type="http://schemas.openxmlformats.org/officeDocument/2006/relationships/hyperlink" Target="#&#205;ndice!A1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5.xml"/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&#205;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hyperlink" Target="#&#205;ndice!A1"/></Relationships>
</file>

<file path=xl/drawings/_rels/drawing20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6.xml"/><Relationship Id="rId1" Type="http://schemas.openxmlformats.org/officeDocument/2006/relationships/hyperlink" Target="#&#205;ndice!A1"/></Relationships>
</file>

<file path=xl/drawings/_rels/drawing20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7.xml"/><Relationship Id="rId1" Type="http://schemas.openxmlformats.org/officeDocument/2006/relationships/hyperlink" Target="#&#205;ndice!A1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8.xml"/><Relationship Id="rId1" Type="http://schemas.openxmlformats.org/officeDocument/2006/relationships/hyperlink" Target="#&#205;ndice!A1"/></Relationships>
</file>

<file path=xl/drawings/_rels/drawing20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9.xml"/><Relationship Id="rId1" Type="http://schemas.openxmlformats.org/officeDocument/2006/relationships/hyperlink" Target="#&#205;ndice!A1"/></Relationships>
</file>

<file path=xl/drawings/_rels/drawing20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0.xml"/><Relationship Id="rId1" Type="http://schemas.openxmlformats.org/officeDocument/2006/relationships/hyperlink" Target="#&#205;ndice!A1"/></Relationships>
</file>

<file path=xl/drawings/_rels/drawing20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1.xml"/><Relationship Id="rId1" Type="http://schemas.openxmlformats.org/officeDocument/2006/relationships/hyperlink" Target="#&#205;ndice!A1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2.xml"/><Relationship Id="rId1" Type="http://schemas.openxmlformats.org/officeDocument/2006/relationships/hyperlink" Target="#&#205;ndice!A1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3.xml"/><Relationship Id="rId1" Type="http://schemas.openxmlformats.org/officeDocument/2006/relationships/hyperlink" Target="#&#205;ndice!A1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4.xml"/><Relationship Id="rId1" Type="http://schemas.openxmlformats.org/officeDocument/2006/relationships/hyperlink" Target="#&#205;ndice!A1"/></Relationships>
</file>

<file path=xl/drawings/_rels/drawing20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5.xml"/><Relationship Id="rId1" Type="http://schemas.openxmlformats.org/officeDocument/2006/relationships/hyperlink" Target="#&#205;ndic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hyperlink" Target="#&#205;ndice!A1"/></Relationships>
</file>

<file path=xl/drawings/_rels/drawing2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6.xml"/><Relationship Id="rId1" Type="http://schemas.openxmlformats.org/officeDocument/2006/relationships/hyperlink" Target="#&#205;ndice!A1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7.xml"/><Relationship Id="rId1" Type="http://schemas.openxmlformats.org/officeDocument/2006/relationships/hyperlink" Target="#&#205;ndice!A1"/></Relationships>
</file>

<file path=xl/drawings/_rels/drawing2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8.xml"/><Relationship Id="rId1" Type="http://schemas.openxmlformats.org/officeDocument/2006/relationships/hyperlink" Target="#&#205;ndice!A1"/></Relationships>
</file>

<file path=xl/drawings/_rels/drawing2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9.xml"/><Relationship Id="rId1" Type="http://schemas.openxmlformats.org/officeDocument/2006/relationships/hyperlink" Target="#&#205;ndice!A1"/></Relationships>
</file>

<file path=xl/drawings/_rels/drawing2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0.xml"/><Relationship Id="rId1" Type="http://schemas.openxmlformats.org/officeDocument/2006/relationships/hyperlink" Target="#&#205;ndice!A1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1.xml"/><Relationship Id="rId1" Type="http://schemas.openxmlformats.org/officeDocument/2006/relationships/hyperlink" Target="#&#205;ndice!A1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2.xml"/><Relationship Id="rId1" Type="http://schemas.openxmlformats.org/officeDocument/2006/relationships/hyperlink" Target="#&#205;ndice!A1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3.xml"/><Relationship Id="rId1" Type="http://schemas.openxmlformats.org/officeDocument/2006/relationships/hyperlink" Target="#&#205;ndice!A1"/></Relationships>
</file>

<file path=xl/drawings/_rels/drawing2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4.xml"/><Relationship Id="rId1" Type="http://schemas.openxmlformats.org/officeDocument/2006/relationships/hyperlink" Target="#&#205;ndice!A1"/></Relationships>
</file>

<file path=xl/drawings/_rels/drawing2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5.xml"/><Relationship Id="rId1" Type="http://schemas.openxmlformats.org/officeDocument/2006/relationships/hyperlink" Target="#&#205;ndic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hyperlink" Target="#&#205;ndice!A1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6.xml"/><Relationship Id="rId1" Type="http://schemas.openxmlformats.org/officeDocument/2006/relationships/hyperlink" Target="#&#205;ndice!A1"/></Relationships>
</file>

<file path=xl/drawings/_rels/drawing2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7.xml"/><Relationship Id="rId1" Type="http://schemas.openxmlformats.org/officeDocument/2006/relationships/hyperlink" Target="#&#205;ndice!A1"/></Relationships>
</file>

<file path=xl/drawings/_rels/drawing2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8.xml"/><Relationship Id="rId1" Type="http://schemas.openxmlformats.org/officeDocument/2006/relationships/hyperlink" Target="#&#205;ndice!A1"/></Relationships>
</file>

<file path=xl/drawings/_rels/drawing2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9.xml"/><Relationship Id="rId1" Type="http://schemas.openxmlformats.org/officeDocument/2006/relationships/hyperlink" Target="#&#205;ndice!A1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0.xml"/><Relationship Id="rId1" Type="http://schemas.openxmlformats.org/officeDocument/2006/relationships/hyperlink" Target="#&#205;ndice!A1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1.xml"/><Relationship Id="rId1" Type="http://schemas.openxmlformats.org/officeDocument/2006/relationships/hyperlink" Target="#&#205;ndice!A1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2.xml"/><Relationship Id="rId1" Type="http://schemas.openxmlformats.org/officeDocument/2006/relationships/hyperlink" Target="#&#205;ndice!A1"/></Relationships>
</file>

<file path=xl/drawings/_rels/drawing2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3.xml"/><Relationship Id="rId1" Type="http://schemas.openxmlformats.org/officeDocument/2006/relationships/hyperlink" Target="#&#205;ndice!A1"/></Relationships>
</file>

<file path=xl/drawings/_rels/drawing2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4.xml"/><Relationship Id="rId1" Type="http://schemas.openxmlformats.org/officeDocument/2006/relationships/hyperlink" Target="#&#205;ndice!A1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5.xml"/><Relationship Id="rId1" Type="http://schemas.openxmlformats.org/officeDocument/2006/relationships/hyperlink" Target="#&#205;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2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6.xml"/><Relationship Id="rId1" Type="http://schemas.openxmlformats.org/officeDocument/2006/relationships/hyperlink" Target="#&#205;ndice!A1"/></Relationships>
</file>

<file path=xl/drawings/_rels/drawing2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7.xml"/><Relationship Id="rId1" Type="http://schemas.openxmlformats.org/officeDocument/2006/relationships/hyperlink" Target="#&#205;ndice!A1"/></Relationships>
</file>

<file path=xl/drawings/_rels/drawing2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8.xml"/><Relationship Id="rId1" Type="http://schemas.openxmlformats.org/officeDocument/2006/relationships/hyperlink" Target="#&#205;ndice!A1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9.xml"/><Relationship Id="rId1" Type="http://schemas.openxmlformats.org/officeDocument/2006/relationships/hyperlink" Target="#&#205;ndice!A1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0.xml"/><Relationship Id="rId1" Type="http://schemas.openxmlformats.org/officeDocument/2006/relationships/hyperlink" Target="#&#205;ndice!A1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1.xml"/><Relationship Id="rId1" Type="http://schemas.openxmlformats.org/officeDocument/2006/relationships/hyperlink" Target="#&#205;ndice!A1"/></Relationships>
</file>

<file path=xl/drawings/_rels/drawing2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2.xml"/><Relationship Id="rId1" Type="http://schemas.openxmlformats.org/officeDocument/2006/relationships/hyperlink" Target="#&#205;ndice!A1"/></Relationships>
</file>

<file path=xl/drawings/_rels/drawing2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3.xml"/><Relationship Id="rId1" Type="http://schemas.openxmlformats.org/officeDocument/2006/relationships/hyperlink" Target="#&#205;ndice!A1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4.xml"/><Relationship Id="rId1" Type="http://schemas.openxmlformats.org/officeDocument/2006/relationships/hyperlink" Target="#&#205;ndice!A1"/></Relationships>
</file>

<file path=xl/drawings/_rels/drawing2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5.xml"/><Relationship Id="rId1" Type="http://schemas.openxmlformats.org/officeDocument/2006/relationships/hyperlink" Target="#&#205;ndice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hyperlink" Target="#&#205;ndice!A1"/></Relationships>
</file>

<file path=xl/drawings/_rels/drawing2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6.xml"/><Relationship Id="rId1" Type="http://schemas.openxmlformats.org/officeDocument/2006/relationships/hyperlink" Target="#&#205;ndice!A1"/></Relationships>
</file>

<file path=xl/drawings/_rels/drawing2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7.xml"/><Relationship Id="rId1" Type="http://schemas.openxmlformats.org/officeDocument/2006/relationships/hyperlink" Target="#&#205;ndice!A1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8.xml"/><Relationship Id="rId1" Type="http://schemas.openxmlformats.org/officeDocument/2006/relationships/hyperlink" Target="#&#205;ndice!A1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9.xml"/><Relationship Id="rId1" Type="http://schemas.openxmlformats.org/officeDocument/2006/relationships/hyperlink" Target="#&#205;ndice!A1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0.xml"/><Relationship Id="rId1" Type="http://schemas.openxmlformats.org/officeDocument/2006/relationships/hyperlink" Target="#&#205;ndice!A1"/></Relationships>
</file>

<file path=xl/drawings/_rels/drawing2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1.xml"/><Relationship Id="rId1" Type="http://schemas.openxmlformats.org/officeDocument/2006/relationships/hyperlink" Target="#&#205;ndice!A1"/></Relationships>
</file>

<file path=xl/drawings/_rels/drawing2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2.xml"/><Relationship Id="rId1" Type="http://schemas.openxmlformats.org/officeDocument/2006/relationships/hyperlink" Target="#&#205;ndice!A1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3.xml"/><Relationship Id="rId1" Type="http://schemas.openxmlformats.org/officeDocument/2006/relationships/hyperlink" Target="#&#205;ndice!A1"/></Relationships>
</file>

<file path=xl/drawings/_rels/drawing2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4.xml"/><Relationship Id="rId1" Type="http://schemas.openxmlformats.org/officeDocument/2006/relationships/hyperlink" Target="#&#205;ndice!A1"/></Relationships>
</file>

<file path=xl/drawings/_rels/drawing2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5.xml"/><Relationship Id="rId1" Type="http://schemas.openxmlformats.org/officeDocument/2006/relationships/hyperlink" Target="#&#205;ndice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hyperlink" Target="#&#205;ndice!A1"/></Relationships>
</file>

<file path=xl/drawings/_rels/drawing2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6.xml"/><Relationship Id="rId1" Type="http://schemas.openxmlformats.org/officeDocument/2006/relationships/hyperlink" Target="#&#205;ndice!A1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7.xml"/><Relationship Id="rId1" Type="http://schemas.openxmlformats.org/officeDocument/2006/relationships/hyperlink" Target="#&#205;ndice!A1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8.xml"/><Relationship Id="rId1" Type="http://schemas.openxmlformats.org/officeDocument/2006/relationships/hyperlink" Target="#&#205;ndice!A1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9.xml"/><Relationship Id="rId1" Type="http://schemas.openxmlformats.org/officeDocument/2006/relationships/hyperlink" Target="#&#205;ndice!A1"/></Relationships>
</file>

<file path=xl/drawings/_rels/drawing2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0.xml"/><Relationship Id="rId1" Type="http://schemas.openxmlformats.org/officeDocument/2006/relationships/hyperlink" Target="#&#205;ndice!A1"/></Relationships>
</file>

<file path=xl/drawings/_rels/drawing2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1.xml"/><Relationship Id="rId1" Type="http://schemas.openxmlformats.org/officeDocument/2006/relationships/hyperlink" Target="#&#205;ndice!A1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2.xml"/><Relationship Id="rId1" Type="http://schemas.openxmlformats.org/officeDocument/2006/relationships/hyperlink" Target="#&#205;ndice!A1"/></Relationships>
</file>

<file path=xl/drawings/_rels/drawing2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3.xml"/><Relationship Id="rId1" Type="http://schemas.openxmlformats.org/officeDocument/2006/relationships/hyperlink" Target="#&#205;ndice!A1"/></Relationships>
</file>

<file path=xl/drawings/_rels/drawing2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4.xml"/><Relationship Id="rId1" Type="http://schemas.openxmlformats.org/officeDocument/2006/relationships/hyperlink" Target="#&#205;ndice!A1"/></Relationships>
</file>

<file path=xl/drawings/_rels/drawing2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5.xml"/><Relationship Id="rId1" Type="http://schemas.openxmlformats.org/officeDocument/2006/relationships/hyperlink" Target="#&#205;ndice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hyperlink" Target="#&#205;ndice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hyperlink" Target="#&#205;ndice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&#205;ndic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hyperlink" Target="#&#205;ndice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hyperlink" Target="#&#205;ndice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hyperlink" Target="#&#205;ndice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hyperlink" Target="#&#205;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hyperlink" Target="#&#205;ndice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hyperlink" Target="#&#205;ndice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&#205;ndice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hyperlink" Target="#&#205;ndice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hyperlink" Target="#&#205;ndice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hyperlink" Target="#&#205;ndice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hyperlink" Target="#&#205;ndice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hyperlink" Target="#&#205;ndice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&#205;ndic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hyperlink" Target="#&#205;ndic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hyperlink" Target="#&#205;ndic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hyperlink" Target="#&#205;ndic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hyperlink" Target="#&#205;ndic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hyperlink" Target="#&#205;ndic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hyperlink" Target="#&#205;ndic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hyperlink" Target="#&#205;ndic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hyperlink" Target="#&#205;ndic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&#205;ndic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hyperlink" Target="#&#205;ndic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hyperlink" Target="#&#205;ndic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hyperlink" Target="#&#205;ndic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hyperlink" Target="#&#205;ndic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hyperlink" Target="#&#205;ndic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hyperlink" Target="#&#205;ndic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hyperlink" Target="#&#205;ndic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hyperlink" Target="#&#205;ndic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hyperlink" Target="#&#205;ndic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hyperlink" Target="#&#205;ndic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hyperlink" Target="#&#205;ndic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hyperlink" Target="#&#205;ndic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hyperlink" Target="#&#205;ndic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hyperlink" Target="#&#205;ndice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hyperlink" Target="#&#205;ndice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hyperlink" Target="#&#205;ndice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hyperlink" Target="#&#205;ndice!A1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hyperlink" Target="#&#205;ndice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hyperlink" Target="#&#205;ndice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hyperlink" Target="#&#205;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hyperlink" Target="#&#205;ndice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hyperlink" Target="#&#205;ndice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hyperlink" Target="#&#205;ndice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hyperlink" Target="#&#205;ndice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hyperlink" Target="#&#205;ndice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hyperlink" Target="#&#205;ndice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4" name="Retângulo de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83820</xdr:colOff>
      <xdr:row>13</xdr:row>
      <xdr:rowOff>7620</xdr:rowOff>
    </xdr:from>
    <xdr:to>
      <xdr:col>8</xdr:col>
      <xdr:colOff>208740</xdr:colOff>
      <xdr:row>25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350" y="47625"/>
          <a:ext cx="723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0.11426</cdr:x>
      <cdr:y>0.14299</cdr:y>
    </cdr:from>
    <cdr:to>
      <cdr:x>0.88854</cdr:x>
      <cdr:y>0.4778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723900" y="390523"/>
          <a:ext cx="4905375" cy="914401"/>
        </a:xfrm>
        <a:prstGeom xmlns:a="http://schemas.openxmlformats.org/drawingml/2006/main" prst="curvedConnector3">
          <a:avLst>
            <a:gd name="adj1" fmla="val 47477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0.46903</cdr:x>
      <cdr:y>0.32503</cdr:y>
    </cdr:from>
    <cdr:to>
      <cdr:x>0.57352</cdr:x>
      <cdr:y>0.48148</cdr:y>
    </cdr:to>
    <cdr:sp macro="" textlink="'Fig 3.23'!$C$15">
      <cdr:nvSpPr>
        <cdr:cNvPr id="4" name="CaixaDeTexto 3"/>
        <cdr:cNvSpPr txBox="1"/>
      </cdr:nvSpPr>
      <cdr:spPr>
        <a:xfrm xmlns:a="http://schemas.openxmlformats.org/drawingml/2006/main">
          <a:off x="2971480" y="887697"/>
          <a:ext cx="661986" cy="42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4F0D5E1-A705-479B-9AD8-AA106B2A463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+69%</a:t>
          </a:fld>
          <a:endParaRPr lang="pt-BR" sz="1100" b="1">
            <a:solidFill>
              <a:sysClr val="windowText" lastClr="000000"/>
            </a:solidFill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45085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83185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333374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SpPr/>
      </xdr:nvSpPr>
      <xdr:spPr>
        <a:xfrm>
          <a:off x="104774" y="38100"/>
          <a:ext cx="8477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1</xdr:col>
      <xdr:colOff>161925</xdr:colOff>
      <xdr:row>13</xdr:row>
      <xdr:rowOff>85725</xdr:rowOff>
    </xdr:from>
    <xdr:to>
      <xdr:col>5</xdr:col>
      <xdr:colOff>306070</xdr:colOff>
      <xdr:row>37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419100</xdr:colOff>
      <xdr:row>18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36830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0.12328</cdr:x>
      <cdr:y>0.29282</cdr:y>
    </cdr:from>
    <cdr:to>
      <cdr:x>0.90959</cdr:x>
      <cdr:y>0.30955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781027" y="800097"/>
          <a:ext cx="4981598" cy="45719"/>
        </a:xfrm>
        <a:prstGeom xmlns:a="http://schemas.openxmlformats.org/drawingml/2006/main" prst="curvedConnector3">
          <a:avLst>
            <a:gd name="adj1" fmla="val 35443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0.47595</cdr:x>
      <cdr:y>0.20365</cdr:y>
    </cdr:from>
    <cdr:to>
      <cdr:x>0.60348</cdr:x>
      <cdr:y>0.30481</cdr:y>
    </cdr:to>
    <cdr:sp macro="" textlink="'Fig 3.28'!$C$15">
      <cdr:nvSpPr>
        <cdr:cNvPr id="4" name="CaixaDeTexto 3"/>
        <cdr:cNvSpPr txBox="1"/>
      </cdr:nvSpPr>
      <cdr:spPr>
        <a:xfrm xmlns:a="http://schemas.openxmlformats.org/drawingml/2006/main">
          <a:off x="3015346" y="556445"/>
          <a:ext cx="807953" cy="276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B9C2F98-E06D-4807-84F5-1F2EFBB16484}" type="TxLink">
            <a:rPr lang="en-US" sz="1200" b="1" i="0" u="none" strike="noStrike">
              <a:solidFill>
                <a:sysClr val="windowText" lastClr="000000"/>
              </a:solidFill>
              <a:latin typeface="Calibri"/>
              <a:cs typeface="Times New Roman" pitchFamily="18" charset="0"/>
            </a:rPr>
            <a:pPr/>
            <a:t>+19,5%</a:t>
          </a:fld>
          <a:endParaRPr lang="pt-BR" sz="14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1</xdr:col>
      <xdr:colOff>190500</xdr:colOff>
      <xdr:row>1</xdr:row>
      <xdr:rowOff>152400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SpPr/>
      </xdr:nvSpPr>
      <xdr:spPr>
        <a:xfrm>
          <a:off x="85725" y="2857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28575</xdr:rowOff>
    </xdr:from>
    <xdr:to>
      <xdr:col>1</xdr:col>
      <xdr:colOff>66675</xdr:colOff>
      <xdr:row>1</xdr:row>
      <xdr:rowOff>152400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SpPr/>
      </xdr:nvSpPr>
      <xdr:spPr>
        <a:xfrm>
          <a:off x="161925" y="2857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28575</xdr:rowOff>
    </xdr:from>
    <xdr:to>
      <xdr:col>0</xdr:col>
      <xdr:colOff>1428750</xdr:colOff>
      <xdr:row>1</xdr:row>
      <xdr:rowOff>152400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SpPr/>
      </xdr:nvSpPr>
      <xdr:spPr>
        <a:xfrm>
          <a:off x="247650" y="2857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2325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1</xdr:col>
      <xdr:colOff>219074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277A48-6787-45C6-ACC1-C1F6DDE3D9E2}"/>
            </a:ext>
          </a:extLst>
        </xdr:cNvPr>
        <xdr:cNvSpPr/>
      </xdr:nvSpPr>
      <xdr:spPr>
        <a:xfrm>
          <a:off x="133349" y="47625"/>
          <a:ext cx="11144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219075</xdr:colOff>
      <xdr:row>2</xdr:row>
      <xdr:rowOff>180975</xdr:rowOff>
    </xdr:from>
    <xdr:to>
      <xdr:col>15</xdr:col>
      <xdr:colOff>544830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461938-F959-4185-BFA7-590847FB7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0</xdr:col>
      <xdr:colOff>1285875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2000000}"/>
            </a:ext>
          </a:extLst>
        </xdr:cNvPr>
        <xdr:cNvSpPr/>
      </xdr:nvSpPr>
      <xdr:spPr>
        <a:xfrm>
          <a:off x="104775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209550</xdr:colOff>
      <xdr:row>0</xdr:row>
      <xdr:rowOff>180975</xdr:rowOff>
    </xdr:from>
    <xdr:to>
      <xdr:col>13</xdr:col>
      <xdr:colOff>448945</xdr:colOff>
      <xdr:row>40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38100</xdr:rowOff>
    </xdr:from>
    <xdr:to>
      <xdr:col>0</xdr:col>
      <xdr:colOff>1304925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SpPr/>
      </xdr:nvSpPr>
      <xdr:spPr>
        <a:xfrm>
          <a:off x="12382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466725</xdr:colOff>
      <xdr:row>2</xdr:row>
      <xdr:rowOff>47625</xdr:rowOff>
    </xdr:from>
    <xdr:to>
      <xdr:col>14</xdr:col>
      <xdr:colOff>96520</xdr:colOff>
      <xdr:row>41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6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314325</xdr:colOff>
      <xdr:row>2</xdr:row>
      <xdr:rowOff>47625</xdr:rowOff>
    </xdr:from>
    <xdr:to>
      <xdr:col>13</xdr:col>
      <xdr:colOff>553720</xdr:colOff>
      <xdr:row>15</xdr:row>
      <xdr:rowOff>132080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0.10975</cdr:x>
      <cdr:y>0.19173</cdr:y>
    </cdr:from>
    <cdr:to>
      <cdr:x>0.88854</cdr:x>
      <cdr:y>0.44969</cdr:y>
    </cdr:to>
    <cdr:sp macro="" textlink="">
      <cdr:nvSpPr>
        <cdr:cNvPr id="5" name="Conector em curva 4"/>
        <cdr:cNvSpPr/>
      </cdr:nvSpPr>
      <cdr:spPr>
        <a:xfrm xmlns:a="http://schemas.openxmlformats.org/drawingml/2006/main" flipV="1">
          <a:off x="695325" y="523874"/>
          <a:ext cx="4933950" cy="704850"/>
        </a:xfrm>
        <a:prstGeom xmlns:a="http://schemas.openxmlformats.org/drawingml/2006/main" prst="curvedConnector3">
          <a:avLst>
            <a:gd name="adj1" fmla="val 28661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0.45658</cdr:x>
      <cdr:y>0.24092</cdr:y>
    </cdr:from>
    <cdr:to>
      <cdr:x>0.56397</cdr:x>
      <cdr:y>0.36932</cdr:y>
    </cdr:to>
    <cdr:sp macro="" textlink="'Fig 3.34'!$C$15">
      <cdr:nvSpPr>
        <cdr:cNvPr id="6" name="CaixaDeTexto 5"/>
        <cdr:cNvSpPr txBox="1"/>
      </cdr:nvSpPr>
      <cdr:spPr>
        <a:xfrm xmlns:a="http://schemas.openxmlformats.org/drawingml/2006/main">
          <a:off x="2892583" y="658290"/>
          <a:ext cx="680421" cy="350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7C4C547-8D24-41B4-B513-230375284A78}" type="TxLink">
            <a:rPr lang="en-US" sz="1100" b="1" i="0" u="none" strike="noStrike">
              <a:solidFill>
                <a:sysClr val="windowText" lastClr="000000"/>
              </a:solidFill>
              <a:latin typeface="Calibri"/>
            </a:rPr>
            <a:pPr/>
            <a:t>+90%</a:t>
          </a:fld>
          <a:endParaRPr lang="pt-BR" sz="1100" b="1">
            <a:solidFill>
              <a:sysClr val="windowText" lastClr="000000"/>
            </a:solidFill>
          </a:endParaRPr>
        </a:p>
      </cdr:txBody>
    </cdr:sp>
  </cdr:relSizeAnchor>
</c:userShapes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257175</xdr:colOff>
      <xdr:row>18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316230</xdr:colOff>
      <xdr:row>17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245110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3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46355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6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3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55880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6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552450</xdr:colOff>
      <xdr:row>3</xdr:row>
      <xdr:rowOff>19050</xdr:rowOff>
    </xdr:from>
    <xdr:to>
      <xdr:col>13</xdr:col>
      <xdr:colOff>182245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24C238-C263-4255-AFE8-CC1DF45969FD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381000</xdr:colOff>
      <xdr:row>2</xdr:row>
      <xdr:rowOff>95250</xdr:rowOff>
    </xdr:from>
    <xdr:to>
      <xdr:col>13</xdr:col>
      <xdr:colOff>10795</xdr:colOff>
      <xdr:row>15</xdr:row>
      <xdr:rowOff>151130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757F62-ABA5-44E5-AE16-71209FC49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240665</xdr:colOff>
      <xdr:row>16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285750</xdr:colOff>
      <xdr:row>2</xdr:row>
      <xdr:rowOff>152400</xdr:rowOff>
    </xdr:from>
    <xdr:to>
      <xdr:col>14</xdr:col>
      <xdr:colOff>525145</xdr:colOff>
      <xdr:row>21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6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447675</xdr:colOff>
      <xdr:row>2</xdr:row>
      <xdr:rowOff>152400</xdr:rowOff>
    </xdr:from>
    <xdr:to>
      <xdr:col>15</xdr:col>
      <xdr:colOff>78740</xdr:colOff>
      <xdr:row>44</xdr:row>
      <xdr:rowOff>147955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6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508500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190500</xdr:colOff>
      <xdr:row>2</xdr:row>
      <xdr:rowOff>66675</xdr:rowOff>
    </xdr:from>
    <xdr:to>
      <xdr:col>13</xdr:col>
      <xdr:colOff>429895</xdr:colOff>
      <xdr:row>16</xdr:row>
      <xdr:rowOff>103505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0.10825</cdr:x>
      <cdr:y>0.12898</cdr:y>
    </cdr:from>
    <cdr:to>
      <cdr:x>0.88403</cdr:x>
      <cdr:y>0.43574</cdr:y>
    </cdr:to>
    <cdr:sp macro="" textlink="">
      <cdr:nvSpPr>
        <cdr:cNvPr id="5" name="Conector em curva 4"/>
        <cdr:cNvSpPr/>
      </cdr:nvSpPr>
      <cdr:spPr>
        <a:xfrm xmlns:a="http://schemas.openxmlformats.org/drawingml/2006/main" flipV="1">
          <a:off x="685801" y="352425"/>
          <a:ext cx="4914900" cy="838200"/>
        </a:xfrm>
        <a:prstGeom xmlns:a="http://schemas.openxmlformats.org/drawingml/2006/main" prst="curvedConnector3">
          <a:avLst>
            <a:gd name="adj1" fmla="val 49042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0.45965</cdr:x>
      <cdr:y>0.31267</cdr:y>
    </cdr:from>
    <cdr:to>
      <cdr:x>0.58215</cdr:x>
      <cdr:y>0.45664</cdr:y>
    </cdr:to>
    <cdr:sp macro="" textlink="'Fig 3.44'!$C$15">
      <cdr:nvSpPr>
        <cdr:cNvPr id="6" name="CaixaDeTexto 5"/>
        <cdr:cNvSpPr txBox="1"/>
      </cdr:nvSpPr>
      <cdr:spPr>
        <a:xfrm xmlns:a="http://schemas.openxmlformats.org/drawingml/2006/main">
          <a:off x="2912071" y="854336"/>
          <a:ext cx="776086" cy="393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9C6948-54D1-43B3-8894-C39246CF2DEB}" type="TxLink">
            <a:rPr lang="en-US" sz="1200" b="1" i="0" u="none" strike="noStrike">
              <a:solidFill>
                <a:sysClr val="windowText" lastClr="000000"/>
              </a:solidFill>
              <a:latin typeface="Calibri"/>
            </a:rPr>
            <a:pPr/>
            <a:t>+86%</a:t>
          </a:fld>
          <a:endParaRPr lang="pt-BR" sz="1200" b="1">
            <a:solidFill>
              <a:sysClr val="windowText" lastClr="000000"/>
            </a:solidFill>
          </a:endParaRPr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508500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74930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708524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552450</xdr:colOff>
      <xdr:row>3</xdr:row>
      <xdr:rowOff>38100</xdr:rowOff>
    </xdr:from>
    <xdr:to>
      <xdr:col>17</xdr:col>
      <xdr:colOff>183515</xdr:colOff>
      <xdr:row>15</xdr:row>
      <xdr:rowOff>52705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1552575</xdr:colOff>
      <xdr:row>1</xdr:row>
      <xdr:rowOff>161925</xdr:rowOff>
    </xdr:to>
    <xdr:sp macro="" textlink="">
      <xdr:nvSpPr>
        <xdr:cNvPr id="4" name="Retângulo de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4000000}"/>
            </a:ext>
          </a:extLst>
        </xdr:cNvPr>
        <xdr:cNvSpPr/>
      </xdr:nvSpPr>
      <xdr:spPr>
        <a:xfrm>
          <a:off x="104774" y="38100"/>
          <a:ext cx="1447801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240665</xdr:colOff>
      <xdr:row>14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240665</xdr:colOff>
      <xdr:row>15</xdr:row>
      <xdr:rowOff>24130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333375</xdr:colOff>
      <xdr:row>2</xdr:row>
      <xdr:rowOff>180975</xdr:rowOff>
    </xdr:from>
    <xdr:to>
      <xdr:col>14</xdr:col>
      <xdr:colOff>572770</xdr:colOff>
      <xdr:row>16</xdr:row>
      <xdr:rowOff>74930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B7557-4706-4E91-8B40-4BAE23A8BF7A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35560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7AE34F-F307-4EF6-AECC-1352CE68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533400</xdr:colOff>
      <xdr:row>2</xdr:row>
      <xdr:rowOff>123825</xdr:rowOff>
    </xdr:from>
    <xdr:to>
      <xdr:col>13</xdr:col>
      <xdr:colOff>163195</xdr:colOff>
      <xdr:row>15</xdr:row>
      <xdr:rowOff>170180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508500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171450</xdr:colOff>
      <xdr:row>2</xdr:row>
      <xdr:rowOff>95250</xdr:rowOff>
    </xdr:from>
    <xdr:to>
      <xdr:col>16</xdr:col>
      <xdr:colOff>412115</xdr:colOff>
      <xdr:row>15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0.12326</cdr:x>
      <cdr:y>0.13579</cdr:y>
    </cdr:from>
    <cdr:to>
      <cdr:x>0.9064</cdr:x>
      <cdr:y>0.34123</cdr:y>
    </cdr:to>
    <cdr:cxnSp macro="">
      <cdr:nvCxnSpPr>
        <cdr:cNvPr id="14" name="Conector em curva 13">
          <a:extLst xmlns:a="http://schemas.openxmlformats.org/drawingml/2006/main">
            <a:ext uri="{FF2B5EF4-FFF2-40B4-BE49-F238E27FC236}">
              <a16:creationId xmlns:a16="http://schemas.microsoft.com/office/drawing/2014/main" id="{B267924D-E2D7-4B65-941A-DF2876C53112}"/>
            </a:ext>
          </a:extLst>
        </cdr:cNvPr>
        <cdr:cNvCxnSpPr/>
      </cdr:nvCxnSpPr>
      <cdr:spPr>
        <a:xfrm xmlns:a="http://schemas.openxmlformats.org/drawingml/2006/main" flipV="1">
          <a:off x="781050" y="371475"/>
          <a:ext cx="4962525" cy="56197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0.1428</cdr:x>
      <cdr:y>0.19847</cdr:y>
    </cdr:from>
    <cdr:to>
      <cdr:x>0.27808</cdr:x>
      <cdr:y>0.34123</cdr:y>
    </cdr:to>
    <cdr:sp macro="" textlink="'Fig 3.51'!$E$16">
      <cdr:nvSpPr>
        <cdr:cNvPr id="17" name="CaixaDeTexto 16"/>
        <cdr:cNvSpPr txBox="1"/>
      </cdr:nvSpPr>
      <cdr:spPr>
        <a:xfrm xmlns:a="http://schemas.openxmlformats.org/drawingml/2006/main">
          <a:off x="904856" y="542919"/>
          <a:ext cx="857224" cy="390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9C02508-1564-4780-B8DF-32989A451A87}" type="TxLink">
            <a:rPr lang="en-US" sz="1200" b="1" i="0" u="none" strike="noStrike">
              <a:solidFill>
                <a:srgbClr val="000000"/>
              </a:solidFill>
              <a:latin typeface="Calibri"/>
              <a:cs typeface="Times New Roman" panose="02020603050405020304" pitchFamily="18" charset="0"/>
            </a:rPr>
            <a:pPr/>
            <a:t>+ 93,8%</a:t>
          </a:fld>
          <a:endParaRPr lang="pt-BR" sz="1050" b="1" i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38100</xdr:rowOff>
    </xdr:from>
    <xdr:to>
      <xdr:col>0</xdr:col>
      <xdr:colOff>1089525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2000000}"/>
            </a:ext>
          </a:extLst>
        </xdr:cNvPr>
        <xdr:cNvSpPr/>
      </xdr:nvSpPr>
      <xdr:spPr>
        <a:xfrm>
          <a:off x="11430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400050</xdr:colOff>
      <xdr:row>2</xdr:row>
      <xdr:rowOff>66675</xdr:rowOff>
    </xdr:from>
    <xdr:to>
      <xdr:col>15</xdr:col>
      <xdr:colOff>31115</xdr:colOff>
      <xdr:row>15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0</xdr:col>
      <xdr:colOff>1165725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2000000}"/>
            </a:ext>
          </a:extLst>
        </xdr:cNvPr>
        <xdr:cNvSpPr/>
      </xdr:nvSpPr>
      <xdr:spPr>
        <a:xfrm>
          <a:off x="190500" y="47625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240665</xdr:colOff>
      <xdr:row>16</xdr:row>
      <xdr:rowOff>78105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19050</xdr:rowOff>
    </xdr:from>
    <xdr:to>
      <xdr:col>0</xdr:col>
      <xdr:colOff>1175250</xdr:colOff>
      <xdr:row>1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2000000}"/>
            </a:ext>
          </a:extLst>
        </xdr:cNvPr>
        <xdr:cNvSpPr/>
      </xdr:nvSpPr>
      <xdr:spPr>
        <a:xfrm>
          <a:off x="200025" y="1905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93980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1080000</xdr:colOff>
      <xdr:row>1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2000000}"/>
            </a:ext>
          </a:extLst>
        </xdr:cNvPr>
        <xdr:cNvSpPr/>
      </xdr:nvSpPr>
      <xdr:spPr>
        <a:xfrm>
          <a:off x="104775" y="1905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323850</xdr:colOff>
      <xdr:row>3</xdr:row>
      <xdr:rowOff>28575</xdr:rowOff>
    </xdr:from>
    <xdr:to>
      <xdr:col>14</xdr:col>
      <xdr:colOff>561975</xdr:colOff>
      <xdr:row>15</xdr:row>
      <xdr:rowOff>52705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245110</xdr:colOff>
      <xdr:row>15</xdr:row>
      <xdr:rowOff>14605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476250</xdr:colOff>
      <xdr:row>20</xdr:row>
      <xdr:rowOff>95250</xdr:rowOff>
    </xdr:from>
    <xdr:to>
      <xdr:col>2</xdr:col>
      <xdr:colOff>1743075</xdr:colOff>
      <xdr:row>42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85725</xdr:colOff>
      <xdr:row>1</xdr:row>
      <xdr:rowOff>123825</xdr:rowOff>
    </xdr:from>
    <xdr:to>
      <xdr:col>13</xdr:col>
      <xdr:colOff>318770</xdr:colOff>
      <xdr:row>41</xdr:row>
      <xdr:rowOff>188595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161925</xdr:colOff>
      <xdr:row>7</xdr:row>
      <xdr:rowOff>85725</xdr:rowOff>
    </xdr:from>
    <xdr:to>
      <xdr:col>8</xdr:col>
      <xdr:colOff>306675</xdr:colOff>
      <xdr:row>20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304800</xdr:colOff>
      <xdr:row>2</xdr:row>
      <xdr:rowOff>180975</xdr:rowOff>
    </xdr:from>
    <xdr:to>
      <xdr:col>14</xdr:col>
      <xdr:colOff>537845</xdr:colOff>
      <xdr:row>43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7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38100</xdr:colOff>
      <xdr:row>11</xdr:row>
      <xdr:rowOff>171450</xdr:rowOff>
    </xdr:from>
    <xdr:to>
      <xdr:col>5</xdr:col>
      <xdr:colOff>238125</xdr:colOff>
      <xdr:row>26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8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295275</xdr:colOff>
      <xdr:row>1</xdr:row>
      <xdr:rowOff>180976</xdr:rowOff>
    </xdr:from>
    <xdr:to>
      <xdr:col>12</xdr:col>
      <xdr:colOff>139275</xdr:colOff>
      <xdr:row>16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38100</xdr:rowOff>
    </xdr:from>
    <xdr:to>
      <xdr:col>0</xdr:col>
      <xdr:colOff>1146675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2000000}"/>
            </a:ext>
          </a:extLst>
        </xdr:cNvPr>
        <xdr:cNvSpPr/>
      </xdr:nvSpPr>
      <xdr:spPr>
        <a:xfrm>
          <a:off x="171450" y="38100"/>
          <a:ext cx="9752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352425</xdr:colOff>
      <xdr:row>4</xdr:row>
      <xdr:rowOff>0</xdr:rowOff>
    </xdr:from>
    <xdr:to>
      <xdr:col>9</xdr:col>
      <xdr:colOff>198825</xdr:colOff>
      <xdr:row>18</xdr:row>
      <xdr:rowOff>123000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76201</xdr:colOff>
      <xdr:row>4</xdr:row>
      <xdr:rowOff>0</xdr:rowOff>
    </xdr:from>
    <xdr:to>
      <xdr:col>14</xdr:col>
      <xdr:colOff>533400</xdr:colOff>
      <xdr:row>18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8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508500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3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180975</xdr:colOff>
      <xdr:row>2</xdr:row>
      <xdr:rowOff>133350</xdr:rowOff>
    </xdr:from>
    <xdr:to>
      <xdr:col>13</xdr:col>
      <xdr:colOff>420370</xdr:colOff>
      <xdr:row>15</xdr:row>
      <xdr:rowOff>189230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4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45085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5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65405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65405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613275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201930</xdr:colOff>
      <xdr:row>14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245110</xdr:colOff>
      <xdr:row>16</xdr:row>
      <xdr:rowOff>59055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0.45335</cdr:x>
      <cdr:y>0.14764</cdr:y>
    </cdr:from>
    <cdr:to>
      <cdr:x>0.55445</cdr:x>
      <cdr:y>0.34168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955852" y="372139"/>
          <a:ext cx="659219" cy="48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0.46603</cdr:x>
      <cdr:y>0.23781</cdr:y>
    </cdr:from>
    <cdr:to>
      <cdr:x>0.56955</cdr:x>
      <cdr:y>0.33483</cdr:y>
    </cdr:to>
    <cdr:sp macro="" textlink="'Fig 2.4'!$C$17">
      <cdr:nvSpPr>
        <cdr:cNvPr id="3" name="CaixaDeTexto 2"/>
        <cdr:cNvSpPr txBox="1"/>
      </cdr:nvSpPr>
      <cdr:spPr>
        <a:xfrm xmlns:a="http://schemas.openxmlformats.org/drawingml/2006/main">
          <a:off x="2952744" y="599347"/>
          <a:ext cx="655903" cy="244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36C76A4-D7B8-4EC8-9992-3EF489156901}" type="TxLink">
            <a:rPr lang="en-US" sz="1200" b="1" i="0" u="none" strike="noStrike">
              <a:solidFill>
                <a:sysClr val="windowText" lastClr="000000"/>
              </a:solidFill>
              <a:latin typeface="Calibri"/>
            </a:rPr>
            <a:pPr/>
            <a:t>+11,2%</a:t>
          </a:fld>
          <a:endParaRPr lang="pt-BR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0.12027</cdr:x>
      <cdr:y>0.35147</cdr:y>
    </cdr:from>
    <cdr:to>
      <cdr:x>0.88846</cdr:x>
      <cdr:y>0.35525</cdr:y>
    </cdr:to>
    <cdr:cxnSp macro="">
      <cdr:nvCxnSpPr>
        <cdr:cNvPr id="5" name="Conector em curva 4">
          <a:extLst xmlns:a="http://schemas.openxmlformats.org/drawingml/2006/main">
            <a:ext uri="{FF2B5EF4-FFF2-40B4-BE49-F238E27FC236}">
              <a16:creationId xmlns:a16="http://schemas.microsoft.com/office/drawing/2014/main" id="{7B7B6F64-F3B9-45EC-9046-FEB4F38D5053}"/>
            </a:ext>
          </a:extLst>
        </cdr:cNvPr>
        <cdr:cNvCxnSpPr/>
      </cdr:nvCxnSpPr>
      <cdr:spPr>
        <a:xfrm xmlns:a="http://schemas.openxmlformats.org/drawingml/2006/main" flipV="1">
          <a:off x="762000" y="885825"/>
          <a:ext cx="4867275" cy="952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322580</xdr:colOff>
      <xdr:row>14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35560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66675</xdr:colOff>
      <xdr:row>3</xdr:row>
      <xdr:rowOff>19050</xdr:rowOff>
    </xdr:from>
    <xdr:to>
      <xdr:col>13</xdr:col>
      <xdr:colOff>394970</xdr:colOff>
      <xdr:row>18</xdr:row>
      <xdr:rowOff>165735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328295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D00-000003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19050</xdr:colOff>
      <xdr:row>2</xdr:row>
      <xdr:rowOff>142875</xdr:rowOff>
    </xdr:from>
    <xdr:to>
      <xdr:col>14</xdr:col>
      <xdr:colOff>258445</xdr:colOff>
      <xdr:row>16</xdr:row>
      <xdr:rowOff>17780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8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352425</xdr:colOff>
      <xdr:row>2</xdr:row>
      <xdr:rowOff>133350</xdr:rowOff>
    </xdr:from>
    <xdr:to>
      <xdr:col>13</xdr:col>
      <xdr:colOff>591820</xdr:colOff>
      <xdr:row>15</xdr:row>
      <xdr:rowOff>189230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328295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8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600075</xdr:colOff>
      <xdr:row>2</xdr:row>
      <xdr:rowOff>171450</xdr:rowOff>
    </xdr:from>
    <xdr:to>
      <xdr:col>13</xdr:col>
      <xdr:colOff>229870</xdr:colOff>
      <xdr:row>16</xdr:row>
      <xdr:rowOff>36830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328295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13</xdr:col>
      <xdr:colOff>239395</xdr:colOff>
      <xdr:row>16</xdr:row>
      <xdr:rowOff>52705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537075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381000</xdr:colOff>
      <xdr:row>2</xdr:row>
      <xdr:rowOff>123825</xdr:rowOff>
    </xdr:from>
    <xdr:to>
      <xdr:col>15</xdr:col>
      <xdr:colOff>4445</xdr:colOff>
      <xdr:row>19</xdr:row>
      <xdr:rowOff>115570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57150</xdr:colOff>
      <xdr:row>19</xdr:row>
      <xdr:rowOff>114300</xdr:rowOff>
    </xdr:from>
    <xdr:to>
      <xdr:col>3</xdr:col>
      <xdr:colOff>409575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670425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3</xdr:col>
      <xdr:colOff>1009650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727575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209550</xdr:colOff>
      <xdr:row>19</xdr:row>
      <xdr:rowOff>180975</xdr:rowOff>
    </xdr:from>
    <xdr:to>
      <xdr:col>3</xdr:col>
      <xdr:colOff>1276350</xdr:colOff>
      <xdr:row>36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537075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15</xdr:col>
      <xdr:colOff>233045</xdr:colOff>
      <xdr:row>19</xdr:row>
      <xdr:rowOff>20320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552450</xdr:colOff>
      <xdr:row>16</xdr:row>
      <xdr:rowOff>66675</xdr:rowOff>
    </xdr:from>
    <xdr:to>
      <xdr:col>3</xdr:col>
      <xdr:colOff>904875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670425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3</xdr:col>
      <xdr:colOff>1009650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727575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20</xdr:row>
      <xdr:rowOff>38100</xdr:rowOff>
    </xdr:from>
    <xdr:to>
      <xdr:col>3</xdr:col>
      <xdr:colOff>1066800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537075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15</xdr:col>
      <xdr:colOff>233045</xdr:colOff>
      <xdr:row>19</xdr:row>
      <xdr:rowOff>20320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352425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46355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670425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3</xdr:col>
      <xdr:colOff>1009650</xdr:colOff>
      <xdr:row>34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727575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20</xdr:row>
      <xdr:rowOff>38100</xdr:rowOff>
    </xdr:from>
    <xdr:to>
      <xdr:col>3</xdr:col>
      <xdr:colOff>1066800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43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9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514350</xdr:colOff>
      <xdr:row>3</xdr:row>
      <xdr:rowOff>38100</xdr:rowOff>
    </xdr:from>
    <xdr:to>
      <xdr:col>11</xdr:col>
      <xdr:colOff>28575</xdr:colOff>
      <xdr:row>43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7</xdr:col>
      <xdr:colOff>429895</xdr:colOff>
      <xdr:row>43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238125</xdr:colOff>
      <xdr:row>43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228600</xdr:colOff>
      <xdr:row>1</xdr:row>
      <xdr:rowOff>171450</xdr:rowOff>
    </xdr:from>
    <xdr:to>
      <xdr:col>14</xdr:col>
      <xdr:colOff>469265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533400</xdr:colOff>
      <xdr:row>3</xdr:row>
      <xdr:rowOff>161925</xdr:rowOff>
    </xdr:from>
    <xdr:to>
      <xdr:col>14</xdr:col>
      <xdr:colOff>163195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0.02556</cdr:x>
      <cdr:y>0.72093</cdr:y>
    </cdr:from>
    <cdr:to>
      <cdr:x>0.16989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1925" y="297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0.02105</cdr:x>
      <cdr:y>0.83721</cdr:y>
    </cdr:from>
    <cdr:to>
      <cdr:x>0.16538</cdr:x>
      <cdr:y>0.98256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33350" y="27432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426720</xdr:colOff>
      <xdr:row>18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SpPr/>
      </xdr:nvSpPr>
      <xdr:spPr>
        <a:xfrm>
          <a:off x="104774" y="38100"/>
          <a:ext cx="699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85725</xdr:colOff>
      <xdr:row>23</xdr:row>
      <xdr:rowOff>85725</xdr:rowOff>
    </xdr:from>
    <xdr:to>
      <xdr:col>3</xdr:col>
      <xdr:colOff>126365</xdr:colOff>
      <xdr:row>46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9525</xdr:colOff>
      <xdr:row>1</xdr:row>
      <xdr:rowOff>85725</xdr:rowOff>
    </xdr:from>
    <xdr:to>
      <xdr:col>13</xdr:col>
      <xdr:colOff>248920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A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0.02556</cdr:x>
      <cdr:y>0.72093</cdr:y>
    </cdr:from>
    <cdr:to>
      <cdr:x>0.16989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1925" y="297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0.02105</cdr:x>
      <cdr:y>0.83721</cdr:y>
    </cdr:from>
    <cdr:to>
      <cdr:x>0.16538</cdr:x>
      <cdr:y>0.98256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33350" y="27432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304800</xdr:colOff>
      <xdr:row>1</xdr:row>
      <xdr:rowOff>180975</xdr:rowOff>
    </xdr:from>
    <xdr:to>
      <xdr:col>14</xdr:col>
      <xdr:colOff>545465</xdr:colOff>
      <xdr:row>16</xdr:row>
      <xdr:rowOff>40005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SpPr/>
      </xdr:nvSpPr>
      <xdr:spPr>
        <a:xfrm>
          <a:off x="104774" y="38100"/>
          <a:ext cx="699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533400</xdr:colOff>
      <xdr:row>3</xdr:row>
      <xdr:rowOff>161925</xdr:rowOff>
    </xdr:from>
    <xdr:to>
      <xdr:col>14</xdr:col>
      <xdr:colOff>163195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0.02556</cdr:x>
      <cdr:y>0.72093</cdr:y>
    </cdr:from>
    <cdr:to>
      <cdr:x>0.16989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1925" y="297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0.02105</cdr:x>
      <cdr:y>0.83721</cdr:y>
    </cdr:from>
    <cdr:to>
      <cdr:x>0.16538</cdr:x>
      <cdr:y>0.98256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33350" y="27432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0</xdr:row>
      <xdr:rowOff>38100</xdr:rowOff>
    </xdr:from>
    <xdr:to>
      <xdr:col>1</xdr:col>
      <xdr:colOff>238124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SpPr/>
      </xdr:nvSpPr>
      <xdr:spPr>
        <a:xfrm>
          <a:off x="104773" y="38100"/>
          <a:ext cx="762001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285750</xdr:colOff>
      <xdr:row>4</xdr:row>
      <xdr:rowOff>38100</xdr:rowOff>
    </xdr:from>
    <xdr:to>
      <xdr:col>15</xdr:col>
      <xdr:colOff>525145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A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0.30518</cdr:x>
      <cdr:y>0.21084</cdr:y>
    </cdr:from>
    <cdr:to>
      <cdr:x>0.5618</cdr:x>
      <cdr:y>0.64517</cdr:y>
    </cdr:to>
    <cdr:sp macro="" textlink="'Fig 2.7'!$C$13">
      <cdr:nvSpPr>
        <cdr:cNvPr id="3" name="Elipse 2"/>
        <cdr:cNvSpPr/>
      </cdr:nvSpPr>
      <cdr:spPr>
        <a:xfrm xmlns:a="http://schemas.openxmlformats.org/drawingml/2006/main">
          <a:off x="1990604" y="666750"/>
          <a:ext cx="1673860" cy="1373472"/>
        </a:xfrm>
        <a:prstGeom xmlns:a="http://schemas.openxmlformats.org/drawingml/2006/main" prst="ellipse">
          <a:avLst/>
        </a:prstGeom>
        <a:gradFill xmlns:a="http://schemas.openxmlformats.org/drawingml/2006/main">
          <a:gsLst>
            <a:gs pos="75000">
              <a:schemeClr val="bg1">
                <a:lumMod val="85000"/>
              </a:schemeClr>
            </a:gs>
            <a:gs pos="7001">
              <a:schemeClr val="bg1">
                <a:lumMod val="65000"/>
              </a:schemeClr>
            </a:gs>
          </a:gsLst>
          <a:lin ang="16200000" scaled="0"/>
        </a:gradFill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</a:ln>
        <a:effectLst xmlns:a="http://schemas.openxmlformats.org/drawingml/2006/main">
          <a:outerShdw blurRad="50800" dist="50800" algn="ctr" rotWithShape="0">
            <a:srgbClr val="000000">
              <a:alpha val="43137"/>
            </a:srgbClr>
          </a:outerShdw>
        </a:effectLst>
        <a:scene3d xmlns:a="http://schemas.openxmlformats.org/drawingml/2006/main">
          <a:camera prst="isometricTopUp">
            <a:rot lat="0" lon="0" rev="0"/>
          </a:camera>
          <a:lightRig rig="threePt" dir="t"/>
        </a:scene3d>
        <a:sp3d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0">
          <a:flatTx/>
        </a:bodyPr>
        <a:lstStyle xmlns:a="http://schemas.openxmlformats.org/drawingml/2006/main"/>
        <a:p xmlns:a="http://schemas.openxmlformats.org/drawingml/2006/main">
          <a:pPr algn="ctr"/>
          <a:fld id="{64C6D8BF-9A7F-4391-B94D-578BAB31E73A}" type="TxLink">
            <a:rPr lang="en-US" sz="20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815.862 voos</a:t>
          </a:fld>
          <a:endParaRPr lang="pt-BR" sz="400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0</xdr:row>
      <xdr:rowOff>38100</xdr:rowOff>
    </xdr:from>
    <xdr:to>
      <xdr:col>1</xdr:col>
      <xdr:colOff>238124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E00-000002000000}"/>
            </a:ext>
          </a:extLst>
        </xdr:cNvPr>
        <xdr:cNvSpPr/>
      </xdr:nvSpPr>
      <xdr:spPr>
        <a:xfrm>
          <a:off x="104773" y="38100"/>
          <a:ext cx="762001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295275</xdr:colOff>
      <xdr:row>3</xdr:row>
      <xdr:rowOff>219074</xdr:rowOff>
    </xdr:from>
    <xdr:to>
      <xdr:col>14</xdr:col>
      <xdr:colOff>533400</xdr:colOff>
      <xdr:row>19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F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A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239395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1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295275</xdr:colOff>
      <xdr:row>24</xdr:row>
      <xdr:rowOff>9524</xdr:rowOff>
    </xdr:from>
    <xdr:to>
      <xdr:col>3</xdr:col>
      <xdr:colOff>335250</xdr:colOff>
      <xdr:row>47</xdr:row>
      <xdr:rowOff>95624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B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2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581025</xdr:colOff>
      <xdr:row>3</xdr:row>
      <xdr:rowOff>114300</xdr:rowOff>
    </xdr:from>
    <xdr:to>
      <xdr:col>16</xdr:col>
      <xdr:colOff>212090</xdr:colOff>
      <xdr:row>14</xdr:row>
      <xdr:rowOff>159750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3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285750</xdr:colOff>
      <xdr:row>1</xdr:row>
      <xdr:rowOff>47625</xdr:rowOff>
    </xdr:from>
    <xdr:to>
      <xdr:col>15</xdr:col>
      <xdr:colOff>526415</xdr:colOff>
      <xdr:row>12</xdr:row>
      <xdr:rowOff>93075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4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457200</xdr:colOff>
      <xdr:row>3</xdr:row>
      <xdr:rowOff>314325</xdr:rowOff>
    </xdr:from>
    <xdr:to>
      <xdr:col>17</xdr:col>
      <xdr:colOff>86995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5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209550</xdr:colOff>
      <xdr:row>2</xdr:row>
      <xdr:rowOff>171450</xdr:rowOff>
    </xdr:from>
    <xdr:to>
      <xdr:col>17</xdr:col>
      <xdr:colOff>448945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6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95250</xdr:colOff>
      <xdr:row>2</xdr:row>
      <xdr:rowOff>180975</xdr:rowOff>
    </xdr:from>
    <xdr:to>
      <xdr:col>16</xdr:col>
      <xdr:colOff>335915</xdr:colOff>
      <xdr:row>17</xdr:row>
      <xdr:rowOff>40005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7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428625</xdr:colOff>
      <xdr:row>2</xdr:row>
      <xdr:rowOff>171450</xdr:rowOff>
    </xdr:from>
    <xdr:to>
      <xdr:col>16</xdr:col>
      <xdr:colOff>59690</xdr:colOff>
      <xdr:row>16</xdr:row>
      <xdr:rowOff>40005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4" name="Retângulo de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104775</xdr:colOff>
      <xdr:row>15</xdr:row>
      <xdr:rowOff>1</xdr:rowOff>
    </xdr:from>
    <xdr:to>
      <xdr:col>7</xdr:col>
      <xdr:colOff>434975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409575</xdr:colOff>
      <xdr:row>16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8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457200</xdr:colOff>
      <xdr:row>3</xdr:row>
      <xdr:rowOff>152400</xdr:rowOff>
    </xdr:from>
    <xdr:to>
      <xdr:col>17</xdr:col>
      <xdr:colOff>182245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900-000002000000}"/>
            </a:ext>
          </a:extLst>
        </xdr:cNvPr>
        <xdr:cNvSpPr/>
      </xdr:nvSpPr>
      <xdr:spPr>
        <a:xfrm>
          <a:off x="104774" y="38100"/>
          <a:ext cx="8895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561975</xdr:colOff>
      <xdr:row>3</xdr:row>
      <xdr:rowOff>66675</xdr:rowOff>
    </xdr:from>
    <xdr:to>
      <xdr:col>17</xdr:col>
      <xdr:colOff>191770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0</xdr:col>
      <xdr:colOff>1184774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A00-000002000000}"/>
            </a:ext>
          </a:extLst>
        </xdr:cNvPr>
        <xdr:cNvSpPr/>
      </xdr:nvSpPr>
      <xdr:spPr>
        <a:xfrm>
          <a:off x="104774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514350</xdr:colOff>
      <xdr:row>1</xdr:row>
      <xdr:rowOff>47625</xdr:rowOff>
    </xdr:from>
    <xdr:to>
      <xdr:col>16</xdr:col>
      <xdr:colOff>145415</xdr:colOff>
      <xdr:row>15</xdr:row>
      <xdr:rowOff>97155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B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581025</xdr:colOff>
      <xdr:row>2</xdr:row>
      <xdr:rowOff>95250</xdr:rowOff>
    </xdr:from>
    <xdr:to>
      <xdr:col>19</xdr:col>
      <xdr:colOff>211425</xdr:colOff>
      <xdr:row>40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C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533400</xdr:colOff>
      <xdr:row>3</xdr:row>
      <xdr:rowOff>228599</xdr:rowOff>
    </xdr:from>
    <xdr:to>
      <xdr:col>17</xdr:col>
      <xdr:colOff>163800</xdr:colOff>
      <xdr:row>46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D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47625</xdr:colOff>
      <xdr:row>4</xdr:row>
      <xdr:rowOff>19049</xdr:rowOff>
    </xdr:from>
    <xdr:to>
      <xdr:col>14</xdr:col>
      <xdr:colOff>287625</xdr:colOff>
      <xdr:row>46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E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438150</xdr:colOff>
      <xdr:row>2</xdr:row>
      <xdr:rowOff>76200</xdr:rowOff>
    </xdr:from>
    <xdr:to>
      <xdr:col>16</xdr:col>
      <xdr:colOff>68550</xdr:colOff>
      <xdr:row>40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F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647700</xdr:colOff>
      <xdr:row>3</xdr:row>
      <xdr:rowOff>123825</xdr:rowOff>
    </xdr:from>
    <xdr:to>
      <xdr:col>16</xdr:col>
      <xdr:colOff>59025</xdr:colOff>
      <xdr:row>42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B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0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95250</xdr:colOff>
      <xdr:row>4</xdr:row>
      <xdr:rowOff>104775</xdr:rowOff>
    </xdr:from>
    <xdr:to>
      <xdr:col>16</xdr:col>
      <xdr:colOff>335250</xdr:colOff>
      <xdr:row>44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1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523875</xdr:colOff>
      <xdr:row>3</xdr:row>
      <xdr:rowOff>219075</xdr:rowOff>
    </xdr:from>
    <xdr:to>
      <xdr:col>17</xdr:col>
      <xdr:colOff>154275</xdr:colOff>
      <xdr:row>42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1314450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4775" y="38100"/>
          <a:ext cx="120967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114300</xdr:colOff>
      <xdr:row>0</xdr:row>
      <xdr:rowOff>142875</xdr:rowOff>
    </xdr:from>
    <xdr:to>
      <xdr:col>16</xdr:col>
      <xdr:colOff>454660</xdr:colOff>
      <xdr:row>27</xdr:row>
      <xdr:rowOff>31115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2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257175</xdr:colOff>
      <xdr:row>1</xdr:row>
      <xdr:rowOff>180975</xdr:rowOff>
    </xdr:from>
    <xdr:to>
      <xdr:col>14</xdr:col>
      <xdr:colOff>497175</xdr:colOff>
      <xdr:row>40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3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257175</xdr:colOff>
      <xdr:row>1</xdr:row>
      <xdr:rowOff>180975</xdr:rowOff>
    </xdr:from>
    <xdr:to>
      <xdr:col>14</xdr:col>
      <xdr:colOff>497175</xdr:colOff>
      <xdr:row>40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4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704850</xdr:colOff>
      <xdr:row>2</xdr:row>
      <xdr:rowOff>47625</xdr:rowOff>
    </xdr:from>
    <xdr:to>
      <xdr:col>14</xdr:col>
      <xdr:colOff>173325</xdr:colOff>
      <xdr:row>40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</xdr:col>
      <xdr:colOff>241799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500-000002000000}"/>
            </a:ext>
          </a:extLst>
        </xdr:cNvPr>
        <xdr:cNvSpPr/>
      </xdr:nvSpPr>
      <xdr:spPr>
        <a:xfrm>
          <a:off x="123824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0</xdr:colOff>
      <xdr:row>1</xdr:row>
      <xdr:rowOff>176213</xdr:rowOff>
    </xdr:from>
    <xdr:to>
      <xdr:col>17</xdr:col>
      <xdr:colOff>240000</xdr:colOff>
      <xdr:row>40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800100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600-000002000000}"/>
            </a:ext>
          </a:extLst>
        </xdr:cNvPr>
        <xdr:cNvSpPr/>
      </xdr:nvSpPr>
      <xdr:spPr>
        <a:xfrm>
          <a:off x="114300" y="47625"/>
          <a:ext cx="6858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238125</xdr:colOff>
      <xdr:row>2</xdr:row>
      <xdr:rowOff>0</xdr:rowOff>
    </xdr:from>
    <xdr:to>
      <xdr:col>18</xdr:col>
      <xdr:colOff>525145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981075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700-000002000000}"/>
            </a:ext>
          </a:extLst>
        </xdr:cNvPr>
        <xdr:cNvSpPr/>
      </xdr:nvSpPr>
      <xdr:spPr>
        <a:xfrm>
          <a:off x="114300" y="47625"/>
          <a:ext cx="8096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333375</xdr:colOff>
      <xdr:row>2</xdr:row>
      <xdr:rowOff>57150</xdr:rowOff>
    </xdr:from>
    <xdr:to>
      <xdr:col>12</xdr:col>
      <xdr:colOff>571500</xdr:colOff>
      <xdr:row>15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981075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800-000002000000}"/>
            </a:ext>
          </a:extLst>
        </xdr:cNvPr>
        <xdr:cNvSpPr/>
      </xdr:nvSpPr>
      <xdr:spPr>
        <a:xfrm>
          <a:off x="114300" y="47625"/>
          <a:ext cx="86677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14</xdr:row>
      <xdr:rowOff>66675</xdr:rowOff>
    </xdr:from>
    <xdr:to>
      <xdr:col>3</xdr:col>
      <xdr:colOff>538350</xdr:colOff>
      <xdr:row>28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981075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SpPr/>
      </xdr:nvSpPr>
      <xdr:spPr>
        <a:xfrm>
          <a:off x="114300" y="47625"/>
          <a:ext cx="86677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1352550</xdr:colOff>
      <xdr:row>13</xdr:row>
      <xdr:rowOff>171450</xdr:rowOff>
    </xdr:from>
    <xdr:to>
      <xdr:col>5</xdr:col>
      <xdr:colOff>716250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1</xdr:col>
      <xdr:colOff>194175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A00-000002000000}"/>
            </a:ext>
          </a:extLst>
        </xdr:cNvPr>
        <xdr:cNvSpPr/>
      </xdr:nvSpPr>
      <xdr:spPr>
        <a:xfrm>
          <a:off x="114300" y="47625"/>
          <a:ext cx="1041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209550</xdr:colOff>
      <xdr:row>17</xdr:row>
      <xdr:rowOff>9525</xdr:rowOff>
    </xdr:from>
    <xdr:to>
      <xdr:col>8</xdr:col>
      <xdr:colOff>391795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1</xdr:col>
      <xdr:colOff>194175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B301-1F58-4021-A232-C0FECF4242B6}"/>
            </a:ext>
          </a:extLst>
        </xdr:cNvPr>
        <xdr:cNvSpPr/>
      </xdr:nvSpPr>
      <xdr:spPr>
        <a:xfrm>
          <a:off x="114300" y="47625"/>
          <a:ext cx="1041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190500</xdr:colOff>
      <xdr:row>17</xdr:row>
      <xdr:rowOff>19050</xdr:rowOff>
    </xdr:from>
    <xdr:to>
      <xdr:col>8</xdr:col>
      <xdr:colOff>506095</xdr:colOff>
      <xdr:row>39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7DCDF1-2E5D-4222-AB08-9771DA6F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38100</xdr:rowOff>
    </xdr:from>
    <xdr:to>
      <xdr:col>1</xdr:col>
      <xdr:colOff>1356225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822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76200</xdr:rowOff>
    </xdr:from>
    <xdr:to>
      <xdr:col>13</xdr:col>
      <xdr:colOff>384000</xdr:colOff>
      <xdr:row>27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1</xdr:col>
      <xdr:colOff>194175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B00-000002000000}"/>
            </a:ext>
          </a:extLst>
        </xdr:cNvPr>
        <xdr:cNvSpPr/>
      </xdr:nvSpPr>
      <xdr:spPr>
        <a:xfrm>
          <a:off x="114300" y="47625"/>
          <a:ext cx="1041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238125</xdr:colOff>
      <xdr:row>15</xdr:row>
      <xdr:rowOff>171450</xdr:rowOff>
    </xdr:from>
    <xdr:to>
      <xdr:col>8</xdr:col>
      <xdr:colOff>544195</xdr:colOff>
      <xdr:row>36</xdr:row>
      <xdr:rowOff>130950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1</xdr:col>
      <xdr:colOff>194175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C00-000002000000}"/>
            </a:ext>
          </a:extLst>
        </xdr:cNvPr>
        <xdr:cNvSpPr/>
      </xdr:nvSpPr>
      <xdr:spPr>
        <a:xfrm>
          <a:off x="114300" y="47625"/>
          <a:ext cx="1041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133350</xdr:colOff>
      <xdr:row>18</xdr:row>
      <xdr:rowOff>9525</xdr:rowOff>
    </xdr:from>
    <xdr:to>
      <xdr:col>8</xdr:col>
      <xdr:colOff>410845</xdr:colOff>
      <xdr:row>32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C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1</xdr:col>
      <xdr:colOff>194175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D00-000002000000}"/>
            </a:ext>
          </a:extLst>
        </xdr:cNvPr>
        <xdr:cNvSpPr/>
      </xdr:nvSpPr>
      <xdr:spPr>
        <a:xfrm>
          <a:off x="114300" y="47625"/>
          <a:ext cx="1041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17</xdr:row>
      <xdr:rowOff>19050</xdr:rowOff>
    </xdr:from>
    <xdr:to>
      <xdr:col>8</xdr:col>
      <xdr:colOff>172720</xdr:colOff>
      <xdr:row>39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47625</xdr:rowOff>
    </xdr:from>
    <xdr:to>
      <xdr:col>1</xdr:col>
      <xdr:colOff>333374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E00-000002000000}"/>
            </a:ext>
          </a:extLst>
        </xdr:cNvPr>
        <xdr:cNvSpPr/>
      </xdr:nvSpPr>
      <xdr:spPr>
        <a:xfrm>
          <a:off x="114299" y="47625"/>
          <a:ext cx="82867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295275</xdr:colOff>
      <xdr:row>2</xdr:row>
      <xdr:rowOff>19050</xdr:rowOff>
    </xdr:from>
    <xdr:to>
      <xdr:col>15</xdr:col>
      <xdr:colOff>534670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47625</xdr:rowOff>
    </xdr:from>
    <xdr:to>
      <xdr:col>1</xdr:col>
      <xdr:colOff>333374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000-000002000000}"/>
            </a:ext>
          </a:extLst>
        </xdr:cNvPr>
        <xdr:cNvSpPr/>
      </xdr:nvSpPr>
      <xdr:spPr>
        <a:xfrm>
          <a:off x="114299" y="47625"/>
          <a:ext cx="139065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590550</xdr:colOff>
      <xdr:row>2</xdr:row>
      <xdr:rowOff>76200</xdr:rowOff>
    </xdr:from>
    <xdr:to>
      <xdr:col>13</xdr:col>
      <xdr:colOff>220345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847726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F00-000002000000}"/>
            </a:ext>
          </a:extLst>
        </xdr:cNvPr>
        <xdr:cNvSpPr/>
      </xdr:nvSpPr>
      <xdr:spPr>
        <a:xfrm>
          <a:off x="114300" y="4762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695325</xdr:colOff>
      <xdr:row>1</xdr:row>
      <xdr:rowOff>28575</xdr:rowOff>
    </xdr:from>
    <xdr:to>
      <xdr:col>7</xdr:col>
      <xdr:colOff>2383155</xdr:colOff>
      <xdr:row>19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C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847726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100-000002000000}"/>
            </a:ext>
          </a:extLst>
        </xdr:cNvPr>
        <xdr:cNvSpPr/>
      </xdr:nvSpPr>
      <xdr:spPr>
        <a:xfrm>
          <a:off x="114300" y="4762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18</xdr:row>
      <xdr:rowOff>104775</xdr:rowOff>
    </xdr:from>
    <xdr:to>
      <xdr:col>4</xdr:col>
      <xdr:colOff>268575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</xdr:col>
      <xdr:colOff>847726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200-000002000000}"/>
            </a:ext>
          </a:extLst>
        </xdr:cNvPr>
        <xdr:cNvSpPr/>
      </xdr:nvSpPr>
      <xdr:spPr>
        <a:xfrm>
          <a:off x="114300" y="4762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1</xdr:col>
      <xdr:colOff>762000</xdr:colOff>
      <xdr:row>15</xdr:row>
      <xdr:rowOff>76200</xdr:rowOff>
    </xdr:from>
    <xdr:to>
      <xdr:col>4</xdr:col>
      <xdr:colOff>792450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847726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300-000002000000}"/>
            </a:ext>
          </a:extLst>
        </xdr:cNvPr>
        <xdr:cNvSpPr/>
      </xdr:nvSpPr>
      <xdr:spPr>
        <a:xfrm>
          <a:off x="114300" y="4762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590550</xdr:colOff>
      <xdr:row>15</xdr:row>
      <xdr:rowOff>114300</xdr:rowOff>
    </xdr:from>
    <xdr:to>
      <xdr:col>5</xdr:col>
      <xdr:colOff>106650</xdr:colOff>
      <xdr:row>35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47625</xdr:rowOff>
    </xdr:from>
    <xdr:to>
      <xdr:col>0</xdr:col>
      <xdr:colOff>847726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400-000002000000}"/>
            </a:ext>
          </a:extLst>
        </xdr:cNvPr>
        <xdr:cNvSpPr/>
      </xdr:nvSpPr>
      <xdr:spPr>
        <a:xfrm>
          <a:off x="114300" y="4762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466725</xdr:colOff>
      <xdr:row>3</xdr:row>
      <xdr:rowOff>19050</xdr:rowOff>
    </xdr:from>
    <xdr:to>
      <xdr:col>19</xdr:col>
      <xdr:colOff>134620</xdr:colOff>
      <xdr:row>24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3675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104775</xdr:rowOff>
    </xdr:from>
    <xdr:to>
      <xdr:col>1</xdr:col>
      <xdr:colOff>466726</xdr:colOff>
      <xdr:row>2</xdr:row>
      <xdr:rowOff>38100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500-000002000000}"/>
            </a:ext>
          </a:extLst>
        </xdr:cNvPr>
        <xdr:cNvSpPr/>
      </xdr:nvSpPr>
      <xdr:spPr>
        <a:xfrm>
          <a:off x="95250" y="10477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104775</xdr:colOff>
      <xdr:row>16</xdr:row>
      <xdr:rowOff>171450</xdr:rowOff>
    </xdr:from>
    <xdr:to>
      <xdr:col>8</xdr:col>
      <xdr:colOff>110700</xdr:colOff>
      <xdr:row>31</xdr:row>
      <xdr:rowOff>13950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1</xdr:col>
      <xdr:colOff>428625</xdr:colOff>
      <xdr:row>2</xdr:row>
      <xdr:rowOff>38100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600-000002000000}"/>
            </a:ext>
          </a:extLst>
        </xdr:cNvPr>
        <xdr:cNvSpPr/>
      </xdr:nvSpPr>
      <xdr:spPr>
        <a:xfrm>
          <a:off x="104775" y="104775"/>
          <a:ext cx="7239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1</xdr:col>
      <xdr:colOff>38100</xdr:colOff>
      <xdr:row>15</xdr:row>
      <xdr:rowOff>95250</xdr:rowOff>
    </xdr:from>
    <xdr:to>
      <xdr:col>7</xdr:col>
      <xdr:colOff>1078200</xdr:colOff>
      <xdr:row>34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104775</xdr:rowOff>
    </xdr:from>
    <xdr:to>
      <xdr:col>1</xdr:col>
      <xdr:colOff>762001</xdr:colOff>
      <xdr:row>2</xdr:row>
      <xdr:rowOff>38100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700-000002000000}"/>
            </a:ext>
          </a:extLst>
        </xdr:cNvPr>
        <xdr:cNvSpPr/>
      </xdr:nvSpPr>
      <xdr:spPr>
        <a:xfrm>
          <a:off x="361950" y="104775"/>
          <a:ext cx="73342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314325</xdr:colOff>
      <xdr:row>1</xdr:row>
      <xdr:rowOff>152400</xdr:rowOff>
    </xdr:from>
    <xdr:to>
      <xdr:col>17</xdr:col>
      <xdr:colOff>528225</xdr:colOff>
      <xdr:row>15</xdr:row>
      <xdr:rowOff>185400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133350</xdr:rowOff>
    </xdr:from>
    <xdr:to>
      <xdr:col>1</xdr:col>
      <xdr:colOff>781050</xdr:colOff>
      <xdr:row>2</xdr:row>
      <xdr:rowOff>66675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800-000002000000}"/>
            </a:ext>
          </a:extLst>
        </xdr:cNvPr>
        <xdr:cNvSpPr/>
      </xdr:nvSpPr>
      <xdr:spPr>
        <a:xfrm>
          <a:off x="276225" y="133350"/>
          <a:ext cx="8382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476250</xdr:colOff>
      <xdr:row>1</xdr:row>
      <xdr:rowOff>0</xdr:rowOff>
    </xdr:from>
    <xdr:to>
      <xdr:col>19</xdr:col>
      <xdr:colOff>106650</xdr:colOff>
      <xdr:row>25</xdr:row>
      <xdr:rowOff>104400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0</xdr:row>
      <xdr:rowOff>85725</xdr:rowOff>
    </xdr:from>
    <xdr:to>
      <xdr:col>0</xdr:col>
      <xdr:colOff>1470524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900-000002000000}"/>
            </a:ext>
          </a:extLst>
        </xdr:cNvPr>
        <xdr:cNvSpPr/>
      </xdr:nvSpPr>
      <xdr:spPr>
        <a:xfrm>
          <a:off x="390524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390524</xdr:colOff>
      <xdr:row>11</xdr:row>
      <xdr:rowOff>142876</xdr:rowOff>
    </xdr:from>
    <xdr:to>
      <xdr:col>4</xdr:col>
      <xdr:colOff>59249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0</xdr:row>
      <xdr:rowOff>85725</xdr:rowOff>
    </xdr:from>
    <xdr:to>
      <xdr:col>0</xdr:col>
      <xdr:colOff>1470524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A00-000002000000}"/>
            </a:ext>
          </a:extLst>
        </xdr:cNvPr>
        <xdr:cNvSpPr/>
      </xdr:nvSpPr>
      <xdr:spPr>
        <a:xfrm>
          <a:off x="390524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419100</xdr:colOff>
      <xdr:row>11</xdr:row>
      <xdr:rowOff>66676</xdr:rowOff>
    </xdr:from>
    <xdr:to>
      <xdr:col>5</xdr:col>
      <xdr:colOff>477520</xdr:colOff>
      <xdr:row>26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0</xdr:row>
      <xdr:rowOff>85725</xdr:rowOff>
    </xdr:from>
    <xdr:to>
      <xdr:col>0</xdr:col>
      <xdr:colOff>1470524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B00-000002000000}"/>
            </a:ext>
          </a:extLst>
        </xdr:cNvPr>
        <xdr:cNvSpPr/>
      </xdr:nvSpPr>
      <xdr:spPr>
        <a:xfrm>
          <a:off x="390524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104775</xdr:colOff>
      <xdr:row>10</xdr:row>
      <xdr:rowOff>66676</xdr:rowOff>
    </xdr:from>
    <xdr:to>
      <xdr:col>4</xdr:col>
      <xdr:colOff>690750</xdr:colOff>
      <xdr:row>25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0</xdr:row>
      <xdr:rowOff>85725</xdr:rowOff>
    </xdr:from>
    <xdr:to>
      <xdr:col>0</xdr:col>
      <xdr:colOff>1470524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C00-000002000000}"/>
            </a:ext>
          </a:extLst>
        </xdr:cNvPr>
        <xdr:cNvSpPr/>
      </xdr:nvSpPr>
      <xdr:spPr>
        <a:xfrm>
          <a:off x="390524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1495425</xdr:colOff>
      <xdr:row>9</xdr:row>
      <xdr:rowOff>142876</xdr:rowOff>
    </xdr:from>
    <xdr:to>
      <xdr:col>6</xdr:col>
      <xdr:colOff>309750</xdr:colOff>
      <xdr:row>24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0</xdr:row>
      <xdr:rowOff>95250</xdr:rowOff>
    </xdr:from>
    <xdr:to>
      <xdr:col>2</xdr:col>
      <xdr:colOff>498974</xdr:colOff>
      <xdr:row>2</xdr:row>
      <xdr:rowOff>28575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D00-000002000000}"/>
            </a:ext>
          </a:extLst>
        </xdr:cNvPr>
        <xdr:cNvSpPr/>
      </xdr:nvSpPr>
      <xdr:spPr>
        <a:xfrm>
          <a:off x="3771899" y="9525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9</xdr:col>
      <xdr:colOff>314325</xdr:colOff>
      <xdr:row>6</xdr:row>
      <xdr:rowOff>133351</xdr:rowOff>
    </xdr:from>
    <xdr:to>
      <xdr:col>19</xdr:col>
      <xdr:colOff>338325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85725</xdr:rowOff>
    </xdr:from>
    <xdr:to>
      <xdr:col>2</xdr:col>
      <xdr:colOff>317999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E00-000002000000}"/>
            </a:ext>
          </a:extLst>
        </xdr:cNvPr>
        <xdr:cNvSpPr/>
      </xdr:nvSpPr>
      <xdr:spPr>
        <a:xfrm>
          <a:off x="361949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476250</xdr:colOff>
      <xdr:row>2</xdr:row>
      <xdr:rowOff>38100</xdr:rowOff>
    </xdr:from>
    <xdr:to>
      <xdr:col>17</xdr:col>
      <xdr:colOff>500250</xdr:colOff>
      <xdr:row>26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47625</xdr:rowOff>
    </xdr:from>
    <xdr:to>
      <xdr:col>1</xdr:col>
      <xdr:colOff>3675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23825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238125</xdr:colOff>
      <xdr:row>16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85725</xdr:rowOff>
    </xdr:from>
    <xdr:to>
      <xdr:col>2</xdr:col>
      <xdr:colOff>146549</xdr:colOff>
      <xdr:row>2</xdr:row>
      <xdr:rowOff>19050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F00-000002000000}"/>
            </a:ext>
          </a:extLst>
        </xdr:cNvPr>
        <xdr:cNvSpPr/>
      </xdr:nvSpPr>
      <xdr:spPr>
        <a:xfrm>
          <a:off x="114299" y="857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104775</xdr:colOff>
      <xdr:row>15</xdr:row>
      <xdr:rowOff>152401</xdr:rowOff>
    </xdr:from>
    <xdr:to>
      <xdr:col>8</xdr:col>
      <xdr:colOff>605025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D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0</xdr:row>
      <xdr:rowOff>76200</xdr:rowOff>
    </xdr:from>
    <xdr:to>
      <xdr:col>2</xdr:col>
      <xdr:colOff>498974</xdr:colOff>
      <xdr:row>2</xdr:row>
      <xdr:rowOff>9525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000-000002000000}"/>
            </a:ext>
          </a:extLst>
        </xdr:cNvPr>
        <xdr:cNvSpPr/>
      </xdr:nvSpPr>
      <xdr:spPr>
        <a:xfrm>
          <a:off x="3771899" y="762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17</xdr:row>
      <xdr:rowOff>66675</xdr:rowOff>
    </xdr:from>
    <xdr:to>
      <xdr:col>8</xdr:col>
      <xdr:colOff>566925</xdr:colOff>
      <xdr:row>39</xdr:row>
      <xdr:rowOff>15675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95250</xdr:rowOff>
    </xdr:from>
    <xdr:to>
      <xdr:col>2</xdr:col>
      <xdr:colOff>346574</xdr:colOff>
      <xdr:row>2</xdr:row>
      <xdr:rowOff>28575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100-000002000000}"/>
            </a:ext>
          </a:extLst>
        </xdr:cNvPr>
        <xdr:cNvSpPr/>
      </xdr:nvSpPr>
      <xdr:spPr>
        <a:xfrm>
          <a:off x="390524" y="9525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104776</xdr:rowOff>
    </xdr:from>
    <xdr:to>
      <xdr:col>7</xdr:col>
      <xdr:colOff>385950</xdr:colOff>
      <xdr:row>30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95250</xdr:rowOff>
    </xdr:from>
    <xdr:to>
      <xdr:col>2</xdr:col>
      <xdr:colOff>403724</xdr:colOff>
      <xdr:row>2</xdr:row>
      <xdr:rowOff>28575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200-000002000000}"/>
            </a:ext>
          </a:extLst>
        </xdr:cNvPr>
        <xdr:cNvSpPr/>
      </xdr:nvSpPr>
      <xdr:spPr>
        <a:xfrm>
          <a:off x="447674" y="9525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66675</xdr:rowOff>
    </xdr:from>
    <xdr:to>
      <xdr:col>7</xdr:col>
      <xdr:colOff>538350</xdr:colOff>
      <xdr:row>39</xdr:row>
      <xdr:rowOff>174625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0</xdr:row>
      <xdr:rowOff>66675</xdr:rowOff>
    </xdr:from>
    <xdr:to>
      <xdr:col>2</xdr:col>
      <xdr:colOff>133350</xdr:colOff>
      <xdr:row>2</xdr:row>
      <xdr:rowOff>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300-000002000000}"/>
            </a:ext>
          </a:extLst>
        </xdr:cNvPr>
        <xdr:cNvSpPr/>
      </xdr:nvSpPr>
      <xdr:spPr>
        <a:xfrm>
          <a:off x="428624" y="66675"/>
          <a:ext cx="828676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38100</xdr:colOff>
      <xdr:row>16</xdr:row>
      <xdr:rowOff>1</xdr:rowOff>
    </xdr:from>
    <xdr:to>
      <xdr:col>8</xdr:col>
      <xdr:colOff>290700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57150</xdr:rowOff>
    </xdr:from>
    <xdr:to>
      <xdr:col>2</xdr:col>
      <xdr:colOff>308474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400-000002000000}"/>
            </a:ext>
          </a:extLst>
        </xdr:cNvPr>
        <xdr:cNvSpPr/>
      </xdr:nvSpPr>
      <xdr:spPr>
        <a:xfrm>
          <a:off x="3581399" y="5715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17</xdr:row>
      <xdr:rowOff>123825</xdr:rowOff>
    </xdr:from>
    <xdr:to>
      <xdr:col>9</xdr:col>
      <xdr:colOff>4950</xdr:colOff>
      <xdr:row>46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E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6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16</xdr:row>
      <xdr:rowOff>9525</xdr:rowOff>
    </xdr:from>
    <xdr:to>
      <xdr:col>6</xdr:col>
      <xdr:colOff>281175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7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114300</xdr:rowOff>
    </xdr:from>
    <xdr:to>
      <xdr:col>9</xdr:col>
      <xdr:colOff>357375</xdr:colOff>
      <xdr:row>40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E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8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7</xdr:col>
      <xdr:colOff>347850</xdr:colOff>
      <xdr:row>29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9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438150</xdr:colOff>
      <xdr:row>1</xdr:row>
      <xdr:rowOff>180975</xdr:rowOff>
    </xdr:from>
    <xdr:to>
      <xdr:col>16</xdr:col>
      <xdr:colOff>462150</xdr:colOff>
      <xdr:row>26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238125</xdr:colOff>
      <xdr:row>3</xdr:row>
      <xdr:rowOff>19050</xdr:rowOff>
    </xdr:from>
    <xdr:to>
      <xdr:col>14</xdr:col>
      <xdr:colOff>57150</xdr:colOff>
      <xdr:row>15</xdr:row>
      <xdr:rowOff>72075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A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38100</xdr:colOff>
      <xdr:row>15</xdr:row>
      <xdr:rowOff>152400</xdr:rowOff>
    </xdr:from>
    <xdr:to>
      <xdr:col>6</xdr:col>
      <xdr:colOff>138300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B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485775</xdr:colOff>
      <xdr:row>1</xdr:row>
      <xdr:rowOff>161925</xdr:rowOff>
    </xdr:from>
    <xdr:to>
      <xdr:col>16</xdr:col>
      <xdr:colOff>509775</xdr:colOff>
      <xdr:row>26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C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123825</xdr:rowOff>
    </xdr:from>
    <xdr:to>
      <xdr:col>7</xdr:col>
      <xdr:colOff>347850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D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495300</xdr:colOff>
      <xdr:row>2</xdr:row>
      <xdr:rowOff>95250</xdr:rowOff>
    </xdr:from>
    <xdr:to>
      <xdr:col>16</xdr:col>
      <xdr:colOff>519300</xdr:colOff>
      <xdr:row>26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E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0</xdr:colOff>
      <xdr:row>15</xdr:row>
      <xdr:rowOff>161925</xdr:rowOff>
    </xdr:from>
    <xdr:to>
      <xdr:col>7</xdr:col>
      <xdr:colOff>224025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F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295275</xdr:colOff>
      <xdr:row>0</xdr:row>
      <xdr:rowOff>180974</xdr:rowOff>
    </xdr:from>
    <xdr:to>
      <xdr:col>17</xdr:col>
      <xdr:colOff>319275</xdr:colOff>
      <xdr:row>24</xdr:row>
      <xdr:rowOff>141374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E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0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571500</xdr:colOff>
      <xdr:row>2</xdr:row>
      <xdr:rowOff>38100</xdr:rowOff>
    </xdr:from>
    <xdr:to>
      <xdr:col>17</xdr:col>
      <xdr:colOff>538350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F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1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419100</xdr:colOff>
      <xdr:row>1</xdr:row>
      <xdr:rowOff>152400</xdr:rowOff>
    </xdr:from>
    <xdr:to>
      <xdr:col>18</xdr:col>
      <xdr:colOff>48895</xdr:colOff>
      <xdr:row>26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F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2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8</xdr:col>
      <xdr:colOff>19050</xdr:colOff>
      <xdr:row>4</xdr:row>
      <xdr:rowOff>38100</xdr:rowOff>
    </xdr:from>
    <xdr:to>
      <xdr:col>18</xdr:col>
      <xdr:colOff>43050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F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152400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300-000002000000}"/>
            </a:ext>
          </a:extLst>
        </xdr:cNvPr>
        <xdr:cNvSpPr/>
      </xdr:nvSpPr>
      <xdr:spPr>
        <a:xfrm>
          <a:off x="66675" y="57150"/>
          <a:ext cx="6953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9</xdr:col>
      <xdr:colOff>95250</xdr:colOff>
      <xdr:row>1</xdr:row>
      <xdr:rowOff>0</xdr:rowOff>
    </xdr:from>
    <xdr:to>
      <xdr:col>19</xdr:col>
      <xdr:colOff>335250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F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9525</xdr:colOff>
      <xdr:row>2</xdr:row>
      <xdr:rowOff>76200</xdr:rowOff>
    </xdr:from>
    <xdr:to>
      <xdr:col>13</xdr:col>
      <xdr:colOff>285115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0.12109</cdr:x>
      <cdr:y>0.21181</cdr:y>
    </cdr:from>
    <cdr:to>
      <cdr:x>0.88649</cdr:x>
      <cdr:y>0.40972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771525" y="581037"/>
          <a:ext cx="4876826" cy="542913"/>
        </a:xfrm>
        <a:prstGeom xmlns:a="http://schemas.openxmlformats.org/drawingml/2006/main" prst="curvedConnector3">
          <a:avLst>
            <a:gd name="adj1" fmla="val 26815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0.46257</cdr:x>
      <cdr:y>0.26083</cdr:y>
    </cdr:from>
    <cdr:to>
      <cdr:x>0.5727</cdr:x>
      <cdr:y>0.36548</cdr:y>
    </cdr:to>
    <cdr:sp macro="" textlink="'Fig 2.14'!$C$17">
      <cdr:nvSpPr>
        <cdr:cNvPr id="4" name="CaixaDeTexto 3"/>
        <cdr:cNvSpPr txBox="1"/>
      </cdr:nvSpPr>
      <cdr:spPr>
        <a:xfrm xmlns:a="http://schemas.openxmlformats.org/drawingml/2006/main">
          <a:off x="2947326" y="715497"/>
          <a:ext cx="701703" cy="287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6AF6900-E8D8-48E3-ADA4-66678099366E}" type="TxLink">
            <a:rPr lang="en-US" sz="1200" b="1" i="0" u="none" strike="noStrike">
              <a:solidFill>
                <a:sysClr val="windowText" lastClr="000000"/>
              </a:solidFill>
              <a:latin typeface="Calibri"/>
            </a:rPr>
            <a:pPr/>
            <a:t>+36,7%</a:t>
          </a:fld>
          <a:endParaRPr lang="pt-BR" sz="1200" b="1">
            <a:solidFill>
              <a:sysClr val="windowText" lastClr="000000"/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33020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245110</xdr:colOff>
      <xdr:row>16</xdr:row>
      <xdr:rowOff>78105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0</xdr:colOff>
      <xdr:row>3</xdr:row>
      <xdr:rowOff>323850</xdr:rowOff>
    </xdr:from>
    <xdr:to>
      <xdr:col>16</xdr:col>
      <xdr:colOff>239395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771525</xdr:colOff>
      <xdr:row>2</xdr:row>
      <xdr:rowOff>66675</xdr:rowOff>
    </xdr:from>
    <xdr:to>
      <xdr:col>13</xdr:col>
      <xdr:colOff>152400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264795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268605</xdr:colOff>
      <xdr:row>18</xdr:row>
      <xdr:rowOff>1270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428625</xdr:colOff>
      <xdr:row>2</xdr:row>
      <xdr:rowOff>180975</xdr:rowOff>
    </xdr:from>
    <xdr:to>
      <xdr:col>13</xdr:col>
      <xdr:colOff>563880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4775" y="38100"/>
          <a:ext cx="186105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942975</xdr:colOff>
      <xdr:row>2</xdr:row>
      <xdr:rowOff>38100</xdr:rowOff>
    </xdr:from>
    <xdr:to>
      <xdr:col>11</xdr:col>
      <xdr:colOff>295910</xdr:colOff>
      <xdr:row>46</xdr:row>
      <xdr:rowOff>36830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0.39678</cdr:x>
      <cdr:y>0.32394</cdr:y>
    </cdr:from>
    <cdr:to>
      <cdr:x>0.88195</cdr:x>
      <cdr:y>0.5097</cdr:y>
    </cdr:to>
    <cdr:sp macro="" textlink="'Fig 2.22'!$C$5">
      <cdr:nvSpPr>
        <cdr:cNvPr id="3" name="Retângulo de cantos arredondados 2"/>
        <cdr:cNvSpPr/>
      </cdr:nvSpPr>
      <cdr:spPr>
        <a:xfrm xmlns:a="http://schemas.openxmlformats.org/drawingml/2006/main">
          <a:off x="2143125" y="2724150"/>
          <a:ext cx="2620583" cy="1562088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CD5D1874-3BCE-44AF-881D-E1515EA91D3C}" type="TxLink"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Região Sudeste 409.246 decolagens</a:t>
          </a:fld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4775" y="38100"/>
          <a:ext cx="186105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600075</xdr:colOff>
      <xdr:row>2</xdr:row>
      <xdr:rowOff>47625</xdr:rowOff>
    </xdr:from>
    <xdr:to>
      <xdr:col>11</xdr:col>
      <xdr:colOff>381635</xdr:colOff>
      <xdr:row>46</xdr:row>
      <xdr:rowOff>75565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0.43882</cdr:x>
      <cdr:y>0.21102</cdr:y>
    </cdr:from>
    <cdr:to>
      <cdr:x>0.92582</cdr:x>
      <cdr:y>0.37828</cdr:y>
    </cdr:to>
    <cdr:sp macro="" textlink="'Fig 2.23'!$C$5">
      <cdr:nvSpPr>
        <cdr:cNvPr id="3" name="Retângulo de cantos arredondados 2"/>
        <cdr:cNvSpPr/>
      </cdr:nvSpPr>
      <cdr:spPr>
        <a:xfrm xmlns:a="http://schemas.openxmlformats.org/drawingml/2006/main">
          <a:off x="2370190" y="1774640"/>
          <a:ext cx="2630438" cy="140664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48EC1B91-39EC-42C0-8FBE-E0CDB4C59178}" type="TxLink"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Região Sudeste 142.693 decolagens</a:t>
          </a:fld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11</xdr:col>
      <xdr:colOff>114935</xdr:colOff>
      <xdr:row>47</xdr:row>
      <xdr:rowOff>27305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409575</xdr:colOff>
      <xdr:row>2</xdr:row>
      <xdr:rowOff>114299</xdr:rowOff>
    </xdr:from>
    <xdr:to>
      <xdr:col>15</xdr:col>
      <xdr:colOff>39370</xdr:colOff>
      <xdr:row>20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0.54942</cdr:x>
      <cdr:y>0.36377</cdr:y>
    </cdr:from>
    <cdr:to>
      <cdr:x>0.95232</cdr:x>
      <cdr:y>0.53802</cdr:y>
    </cdr:to>
    <cdr:sp macro="" textlink="'Fig 2.24'!$C$5">
      <cdr:nvSpPr>
        <cdr:cNvPr id="3" name="Retângulo de cantos arredondados 2"/>
        <cdr:cNvSpPr/>
      </cdr:nvSpPr>
      <cdr:spPr>
        <a:xfrm xmlns:a="http://schemas.openxmlformats.org/drawingml/2006/main">
          <a:off x="2967561" y="3059011"/>
          <a:ext cx="2176188" cy="146536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CCC00"/>
        </a:solidFill>
        <a:ln xmlns:a="http://schemas.openxmlformats.org/drawingml/2006/main">
          <a:solidFill>
            <a:srgbClr val="808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A7989F9-3A1A-4B1D-911E-471CE9A82B2B}" type="TxLink">
            <a:rPr lang="en-US" sz="24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Região Sul 108.859 decolagens</a:t>
          </a:fld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419100</xdr:colOff>
      <xdr:row>2</xdr:row>
      <xdr:rowOff>38100</xdr:rowOff>
    </xdr:from>
    <xdr:to>
      <xdr:col>12</xdr:col>
      <xdr:colOff>534035</xdr:colOff>
      <xdr:row>45</xdr:row>
      <xdr:rowOff>128905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0.52797</cdr:x>
      <cdr:y>0.28178</cdr:y>
    </cdr:from>
    <cdr:to>
      <cdr:x>0.93087</cdr:x>
      <cdr:y>0.52506</cdr:y>
    </cdr:to>
    <cdr:sp macro="" textlink="'Fig 2.25'!$C$5">
      <cdr:nvSpPr>
        <cdr:cNvPr id="3" name="Retângulo de cantos arredondados 2"/>
        <cdr:cNvSpPr/>
      </cdr:nvSpPr>
      <cdr:spPr>
        <a:xfrm xmlns:a="http://schemas.openxmlformats.org/drawingml/2006/main">
          <a:off x="2851726" y="2369681"/>
          <a:ext cx="2176200" cy="204588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2">
            <a:lumMod val="90000"/>
          </a:schemeClr>
        </a:solidFill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587D7F69-7F3D-4F07-920E-80626D71FBE5}" type="TxLink">
            <a:rPr lang="en-US" sz="24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Região Centro-Oeste 105.818 decolagens</a:t>
          </a:fld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11</xdr:col>
      <xdr:colOff>391160</xdr:colOff>
      <xdr:row>47</xdr:row>
      <xdr:rowOff>27305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0.52269</cdr:x>
      <cdr:y>0.3958</cdr:y>
    </cdr:from>
    <cdr:to>
      <cdr:x>0.92559</cdr:x>
      <cdr:y>0.58412</cdr:y>
    </cdr:to>
    <cdr:sp macro="" textlink="'Fig 2.26'!$C$5">
      <cdr:nvSpPr>
        <cdr:cNvPr id="3" name="Retângulo de cantos arredondados 2"/>
        <cdr:cNvSpPr/>
      </cdr:nvSpPr>
      <cdr:spPr>
        <a:xfrm xmlns:a="http://schemas.openxmlformats.org/drawingml/2006/main">
          <a:off x="2823226" y="3328520"/>
          <a:ext cx="2176199" cy="1583722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>
            <a:lumMod val="60000"/>
            <a:lumOff val="40000"/>
          </a:schemeClr>
        </a:solidFill>
        <a:ln xmlns:a="http://schemas.openxmlformats.org/drawingml/2006/main">
          <a:solidFill>
            <a:schemeClr val="accent3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A777B13-1991-4566-9E83-E46D2AF89695}" type="TxLink">
            <a:rPr lang="en-US" sz="24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Região Norte 49.246 decolagens</a:t>
          </a:fld>
          <a:endParaRPr lang="pt-BR" sz="2400">
            <a:solidFill>
              <a:schemeClr val="bg1"/>
            </a:solidFill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295275</xdr:colOff>
      <xdr:row>0</xdr:row>
      <xdr:rowOff>133350</xdr:rowOff>
    </xdr:from>
    <xdr:to>
      <xdr:col>12</xdr:col>
      <xdr:colOff>137160</xdr:colOff>
      <xdr:row>35</xdr:row>
      <xdr:rowOff>111760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228600</xdr:colOff>
      <xdr:row>2</xdr:row>
      <xdr:rowOff>152400</xdr:rowOff>
    </xdr:from>
    <xdr:to>
      <xdr:col>8</xdr:col>
      <xdr:colOff>374015</xdr:colOff>
      <xdr:row>15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0.11274</cdr:x>
      <cdr:y>0.17758</cdr:y>
    </cdr:from>
    <cdr:to>
      <cdr:x>0.88386</cdr:x>
      <cdr:y>0.30989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714376" y="485775"/>
          <a:ext cx="4886324" cy="36195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0.4563</cdr:x>
      <cdr:y>0.11044</cdr:y>
    </cdr:from>
    <cdr:to>
      <cdr:x>0.57207</cdr:x>
      <cdr:y>0.21536</cdr:y>
    </cdr:to>
    <cdr:sp macro="" textlink="'Fig 2.28'!$B$17">
      <cdr:nvSpPr>
        <cdr:cNvPr id="4" name="CaixaDeTexto 3"/>
        <cdr:cNvSpPr txBox="1"/>
      </cdr:nvSpPr>
      <cdr:spPr>
        <a:xfrm xmlns:a="http://schemas.openxmlformats.org/drawingml/2006/main">
          <a:off x="2891420" y="302115"/>
          <a:ext cx="733596" cy="287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74F1A74-67BE-4C18-AE13-573D29C9DFC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+50%</a:t>
          </a:fld>
          <a:endParaRPr lang="pt-BR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27305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66675</xdr:colOff>
      <xdr:row>2</xdr:row>
      <xdr:rowOff>142875</xdr:rowOff>
    </xdr:from>
    <xdr:to>
      <xdr:col>15</xdr:col>
      <xdr:colOff>306070</xdr:colOff>
      <xdr:row>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9</xdr:col>
      <xdr:colOff>144145</xdr:colOff>
      <xdr:row>16</xdr:row>
      <xdr:rowOff>17780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9</xdr:col>
      <xdr:colOff>144145</xdr:colOff>
      <xdr:row>14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8</xdr:col>
      <xdr:colOff>144145</xdr:colOff>
      <xdr:row>15</xdr:row>
      <xdr:rowOff>170180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8</xdr:col>
      <xdr:colOff>144145</xdr:colOff>
      <xdr:row>16</xdr:row>
      <xdr:rowOff>46355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438150</xdr:colOff>
      <xdr:row>3</xdr:row>
      <xdr:rowOff>238125</xdr:rowOff>
    </xdr:from>
    <xdr:to>
      <xdr:col>14</xdr:col>
      <xdr:colOff>67945</xdr:colOff>
      <xdr:row>17</xdr:row>
      <xdr:rowOff>103505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233045</xdr:colOff>
      <xdr:row>22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14</xdr:col>
      <xdr:colOff>240665</xdr:colOff>
      <xdr:row>47</xdr:row>
      <xdr:rowOff>27305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304800</xdr:colOff>
      <xdr:row>3</xdr:row>
      <xdr:rowOff>28575</xdr:rowOff>
    </xdr:from>
    <xdr:to>
      <xdr:col>13</xdr:col>
      <xdr:colOff>544195</xdr:colOff>
      <xdr:row>17</xdr:row>
      <xdr:rowOff>17780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0.10374</cdr:x>
      <cdr:y>0.16035</cdr:y>
    </cdr:from>
    <cdr:to>
      <cdr:x>0.88854</cdr:x>
      <cdr:y>0.4462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657226" y="438150"/>
          <a:ext cx="4972049" cy="781050"/>
        </a:xfrm>
        <a:prstGeom xmlns:a="http://schemas.openxmlformats.org/drawingml/2006/main" prst="curvedConnector3">
          <a:avLst>
            <a:gd name="adj1" fmla="val 54800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0.46382</cdr:x>
      <cdr:y>0.21741</cdr:y>
    </cdr:from>
    <cdr:to>
      <cdr:x>0.58465</cdr:x>
      <cdr:y>0.3536</cdr:y>
    </cdr:to>
    <cdr:sp macro="" textlink="'Fig 2.39'!$B$17">
      <cdr:nvSpPr>
        <cdr:cNvPr id="4" name="CaixaDeTexto 3"/>
        <cdr:cNvSpPr txBox="1"/>
      </cdr:nvSpPr>
      <cdr:spPr>
        <a:xfrm xmlns:a="http://schemas.openxmlformats.org/drawingml/2006/main">
          <a:off x="2938497" y="594055"/>
          <a:ext cx="765506" cy="37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EC62813-330F-45E5-9E37-31F105C783DA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/>
            <a:t>+69%</a:t>
          </a:fld>
          <a:endParaRPr lang="pt-BR" sz="1100" b="1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7</xdr:col>
      <xdr:colOff>95250</xdr:colOff>
      <xdr:row>1</xdr:row>
      <xdr:rowOff>9525</xdr:rowOff>
    </xdr:from>
    <xdr:to>
      <xdr:col>17</xdr:col>
      <xdr:colOff>334645</xdr:colOff>
      <xdr:row>26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74930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9</xdr:col>
      <xdr:colOff>144145</xdr:colOff>
      <xdr:row>16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8</xdr:col>
      <xdr:colOff>144145</xdr:colOff>
      <xdr:row>14</xdr:row>
      <xdr:rowOff>176850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8</xdr:col>
      <xdr:colOff>144145</xdr:colOff>
      <xdr:row>15</xdr:row>
      <xdr:rowOff>33975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46355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1</xdr:col>
      <xdr:colOff>219074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/>
      </xdr:nvSpPr>
      <xdr:spPr>
        <a:xfrm>
          <a:off x="133349" y="47625"/>
          <a:ext cx="11144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285750</xdr:colOff>
      <xdr:row>3</xdr:row>
      <xdr:rowOff>123825</xdr:rowOff>
    </xdr:from>
    <xdr:to>
      <xdr:col>15</xdr:col>
      <xdr:colOff>327660</xdr:colOff>
      <xdr:row>14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0.09827</cdr:x>
      <cdr:y>0.23609</cdr:y>
    </cdr:from>
    <cdr:to>
      <cdr:x>0.88146</cdr:x>
      <cdr:y>0.49661</cdr:y>
    </cdr:to>
    <cdr:cxnSp macro="">
      <cdr:nvCxnSpPr>
        <cdr:cNvPr id="12" name="Conector em curva 11">
          <a:extLst xmlns:a="http://schemas.openxmlformats.org/drawingml/2006/main">
            <a:ext uri="{FF2B5EF4-FFF2-40B4-BE49-F238E27FC236}">
              <a16:creationId xmlns:a16="http://schemas.microsoft.com/office/drawing/2014/main" id="{8F45DDE6-9520-4403-9EC7-2FF2E2DE43D0}"/>
            </a:ext>
          </a:extLst>
        </cdr:cNvPr>
        <cdr:cNvCxnSpPr/>
      </cdr:nvCxnSpPr>
      <cdr:spPr>
        <a:xfrm xmlns:a="http://schemas.openxmlformats.org/drawingml/2006/main" flipV="1">
          <a:off x="619111" y="552446"/>
          <a:ext cx="4933968" cy="609610"/>
        </a:xfrm>
        <a:prstGeom xmlns:a="http://schemas.openxmlformats.org/drawingml/2006/main" prst="curvedConnector3">
          <a:avLst>
            <a:gd name="adj1" fmla="val 50000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0.45783</cdr:x>
      <cdr:y>0.39877</cdr:y>
    </cdr:from>
    <cdr:to>
      <cdr:x>0.55889</cdr:x>
      <cdr:y>0.5091</cdr:y>
    </cdr:to>
    <cdr:sp macro="" textlink="'Fig 3.1'!$E$16">
      <cdr:nvSpPr>
        <cdr:cNvPr id="13" name="CaixaDeTexto 18"/>
        <cdr:cNvSpPr txBox="1"/>
      </cdr:nvSpPr>
      <cdr:spPr>
        <a:xfrm xmlns:a="http://schemas.openxmlformats.org/drawingml/2006/main">
          <a:off x="2884252" y="933118"/>
          <a:ext cx="636661" cy="258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fld id="{51336D6A-B674-4E1C-8E30-633149379E7E}" type="TxLink">
            <a:rPr lang="en-US" sz="1100" b="1" i="0" u="none" strike="noStrike">
              <a:ln>
                <a:noFill/>
              </a:ln>
              <a:solidFill>
                <a:srgbClr val="000000"/>
              </a:solidFill>
              <a:latin typeface="Calibri"/>
              <a:cs typeface="Calibri"/>
            </a:rPr>
            <a:pPr/>
            <a:t>+69%</a:t>
          </a:fld>
          <a:endParaRPr lang="pt-BR" sz="1100" b="1">
            <a:ln>
              <a:noFill/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13</xdr:col>
      <xdr:colOff>380365</xdr:colOff>
      <xdr:row>13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1</xdr:col>
      <xdr:colOff>219074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SpPr/>
      </xdr:nvSpPr>
      <xdr:spPr>
        <a:xfrm>
          <a:off x="133349" y="47625"/>
          <a:ext cx="11144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5</xdr:col>
      <xdr:colOff>219075</xdr:colOff>
      <xdr:row>3</xdr:row>
      <xdr:rowOff>76200</xdr:rowOff>
    </xdr:from>
    <xdr:to>
      <xdr:col>15</xdr:col>
      <xdr:colOff>600075</xdr:colOff>
      <xdr:row>17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13</xdr:col>
      <xdr:colOff>254000</xdr:colOff>
      <xdr:row>18</xdr:row>
      <xdr:rowOff>102235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0.10294</cdr:x>
      <cdr:y>0.16584</cdr:y>
    </cdr:from>
    <cdr:to>
      <cdr:x>0.88235</cdr:x>
      <cdr:y>0.4693</cdr:y>
    </cdr:to>
    <cdr:sp macro="" textlink="">
      <cdr:nvSpPr>
        <cdr:cNvPr id="8" name="Conector em curva 7"/>
        <cdr:cNvSpPr/>
      </cdr:nvSpPr>
      <cdr:spPr>
        <a:xfrm xmlns:a="http://schemas.openxmlformats.org/drawingml/2006/main" flipV="1">
          <a:off x="666731" y="447674"/>
          <a:ext cx="5048269" cy="819142"/>
        </a:xfrm>
        <a:prstGeom xmlns:a="http://schemas.openxmlformats.org/drawingml/2006/main" prst="curvedConnector3">
          <a:avLst>
            <a:gd name="adj1" fmla="val 71254"/>
          </a:avLst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0.45712</cdr:x>
      <cdr:y>0.30967</cdr:y>
    </cdr:from>
    <cdr:to>
      <cdr:x>0.56877</cdr:x>
      <cdr:y>0.44143</cdr:y>
    </cdr:to>
    <cdr:sp macro="" textlink="'Fig 3.3'!$E$16">
      <cdr:nvSpPr>
        <cdr:cNvPr id="9" name="CaixaDeTexto 8"/>
        <cdr:cNvSpPr txBox="1"/>
      </cdr:nvSpPr>
      <cdr:spPr>
        <a:xfrm xmlns:a="http://schemas.openxmlformats.org/drawingml/2006/main">
          <a:off x="2960762" y="835924"/>
          <a:ext cx="723157" cy="35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4368C92-2E50-4B24-B9A3-4E860E02858A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+78%</a:t>
          </a:fld>
          <a:endParaRPr lang="pt-BR" sz="105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381000</xdr:colOff>
      <xdr:row>15</xdr:row>
      <xdr:rowOff>184785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1</xdr:col>
      <xdr:colOff>219074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SpPr/>
      </xdr:nvSpPr>
      <xdr:spPr>
        <a:xfrm>
          <a:off x="133349" y="47625"/>
          <a:ext cx="11144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6</xdr:col>
      <xdr:colOff>171450</xdr:colOff>
      <xdr:row>3</xdr:row>
      <xdr:rowOff>209550</xdr:rowOff>
    </xdr:from>
    <xdr:to>
      <xdr:col>16</xdr:col>
      <xdr:colOff>412115</xdr:colOff>
      <xdr:row>17</xdr:row>
      <xdr:rowOff>59055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0.10823</cdr:x>
      <cdr:y>0.14972</cdr:y>
    </cdr:from>
    <cdr:to>
      <cdr:x>0.90189</cdr:x>
      <cdr:y>0.40042</cdr:y>
    </cdr:to>
    <cdr:sp macro="" textlink="">
      <cdr:nvSpPr>
        <cdr:cNvPr id="13" name="Conector em curva 12"/>
        <cdr:cNvSpPr/>
      </cdr:nvSpPr>
      <cdr:spPr>
        <a:xfrm xmlns:a="http://schemas.openxmlformats.org/drawingml/2006/main" flipV="1">
          <a:off x="685799" y="409574"/>
          <a:ext cx="5029201" cy="685799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0.46843</cdr:x>
      <cdr:y>0.31569</cdr:y>
    </cdr:from>
    <cdr:to>
      <cdr:x>0.57413</cdr:x>
      <cdr:y>0.41673</cdr:y>
    </cdr:to>
    <cdr:sp macro="" textlink="'Fig 3.5'!$E$15">
      <cdr:nvSpPr>
        <cdr:cNvPr id="14" name="CaixaDeTexto 13"/>
        <cdr:cNvSpPr txBox="1"/>
      </cdr:nvSpPr>
      <cdr:spPr>
        <a:xfrm xmlns:a="http://schemas.openxmlformats.org/drawingml/2006/main">
          <a:off x="2968307" y="863601"/>
          <a:ext cx="669786" cy="276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086C525-5550-4002-94E0-CC8D4F0729B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+60%</a:t>
          </a:fld>
          <a:endParaRPr lang="pt-BR" sz="11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239395</xdr:colOff>
      <xdr:row>16</xdr:row>
      <xdr:rowOff>65405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885825</xdr:colOff>
      <xdr:row>2</xdr:row>
      <xdr:rowOff>114300</xdr:rowOff>
    </xdr:from>
    <xdr:to>
      <xdr:col>8</xdr:col>
      <xdr:colOff>1118870</xdr:colOff>
      <xdr:row>17</xdr:row>
      <xdr:rowOff>153670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0.11416</cdr:x>
      <cdr:y>0.26532</cdr:y>
    </cdr:from>
    <cdr:to>
      <cdr:x>0.88514</cdr:x>
      <cdr:y>0.51522</cdr:y>
    </cdr:to>
    <cdr:sp macro="" textlink="">
      <cdr:nvSpPr>
        <cdr:cNvPr id="3" name="Conector em curva 2"/>
        <cdr:cNvSpPr/>
      </cdr:nvSpPr>
      <cdr:spPr>
        <a:xfrm xmlns:a="http://schemas.openxmlformats.org/drawingml/2006/main" flipV="1">
          <a:off x="733425" y="819149"/>
          <a:ext cx="4953000" cy="771525"/>
        </a:xfrm>
        <a:prstGeom xmlns:a="http://schemas.openxmlformats.org/drawingml/2006/main" prst="curvedConnector3">
          <a:avLst>
            <a:gd name="adj1" fmla="val 32620"/>
          </a:avLst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0.45813</cdr:x>
      <cdr:y>0.31131</cdr:y>
    </cdr:from>
    <cdr:to>
      <cdr:x>0.55679</cdr:x>
      <cdr:y>0.40853</cdr:y>
    </cdr:to>
    <cdr:sp macro="" textlink="'Fig 3.7'!$C$15">
      <cdr:nvSpPr>
        <cdr:cNvPr id="4" name="CaixaDeTexto 3"/>
        <cdr:cNvSpPr txBox="1"/>
      </cdr:nvSpPr>
      <cdr:spPr>
        <a:xfrm xmlns:a="http://schemas.openxmlformats.org/drawingml/2006/main">
          <a:off x="2943173" y="961131"/>
          <a:ext cx="633821" cy="300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C3B5D7C-4FDF-46B6-A311-81391D3AEF6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+64%</a:t>
          </a:fld>
          <a:endParaRPr lang="pt-BR" sz="11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245110</xdr:colOff>
      <xdr:row>19</xdr:row>
      <xdr:rowOff>169545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666750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SpPr/>
      </xdr:nvSpPr>
      <xdr:spPr>
        <a:xfrm>
          <a:off x="104775" y="38100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316230</xdr:colOff>
      <xdr:row>17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13</xdr:col>
      <xdr:colOff>240000</xdr:colOff>
      <xdr:row>16</xdr:row>
      <xdr:rowOff>49950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0</xdr:col>
      <xdr:colOff>866775</xdr:colOff>
      <xdr:row>1</xdr:row>
      <xdr:rowOff>180975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95250" y="57150"/>
          <a:ext cx="771525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0.3172</cdr:x>
      <cdr:y>0.24369</cdr:y>
    </cdr:from>
    <cdr:to>
      <cdr:x>0.54447</cdr:x>
      <cdr:y>0.69975</cdr:y>
    </cdr:to>
    <cdr:sp macro="" textlink="'Fig 3.10'!$C$12">
      <cdr:nvSpPr>
        <cdr:cNvPr id="2" name="Elipse 1"/>
        <cdr:cNvSpPr/>
      </cdr:nvSpPr>
      <cdr:spPr>
        <a:xfrm xmlns:a="http://schemas.openxmlformats.org/drawingml/2006/main">
          <a:off x="2097398" y="666749"/>
          <a:ext cx="1502760" cy="1247775"/>
        </a:xfrm>
        <a:prstGeom xmlns:a="http://schemas.openxmlformats.org/drawingml/2006/main" prst="ellipse">
          <a:avLst/>
        </a:prstGeom>
        <a:gradFill xmlns:a="http://schemas.openxmlformats.org/drawingml/2006/main">
          <a:gsLst>
            <a:gs pos="75000">
              <a:sysClr val="window" lastClr="FFFFFF">
                <a:lumMod val="85000"/>
              </a:sysClr>
            </a:gs>
            <a:gs pos="7001">
              <a:sysClr val="window" lastClr="FFFFFF">
                <a:lumMod val="65000"/>
              </a:sysClr>
            </a:gs>
          </a:gsLst>
          <a:lin ang="16200000" scaled="0"/>
        </a:gradFill>
        <a:ln xmlns:a="http://schemas.openxmlformats.org/drawingml/2006/main"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>
          <a:outerShdw blurRad="50800" dist="50800" algn="ctr" rotWithShape="0">
            <a:srgbClr val="000000">
              <a:alpha val="43137"/>
            </a:srgbClr>
          </a:outerShdw>
        </a:effectLst>
        <a:scene3d xmlns:a="http://schemas.openxmlformats.org/drawingml/2006/main">
          <a:camera prst="isometricTopUp">
            <a:rot lat="0" lon="0" rev="0"/>
          </a:camera>
          <a:lightRig rig="threePt" dir="t"/>
        </a:scene3d>
        <a:sp3d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>
          <a:flatTx/>
        </a:bodyPr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A4CAB88F-D948-45E6-B18A-D42D0AD31963}" type="TxLink">
            <a:rPr lang="en-US" sz="1400" b="0" i="0" u="none" strike="noStrike">
              <a:solidFill>
                <a:sysClr val="windowText" lastClr="000000"/>
              </a:solidFill>
              <a:latin typeface="Calibri"/>
              <a:cs typeface="Times New Roman" pitchFamily="18" charset="0"/>
            </a:rPr>
            <a:pPr algn="ctr"/>
            <a:t>93.648.950 passageiros</a:t>
          </a:fld>
          <a:endParaRPr lang="pt-BR" sz="180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2</xdr:row>
      <xdr:rowOff>190499</xdr:rowOff>
    </xdr:from>
    <xdr:to>
      <xdr:col>13</xdr:col>
      <xdr:colOff>239395</xdr:colOff>
      <xdr:row>13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422775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542925</xdr:colOff>
      <xdr:row>2</xdr:row>
      <xdr:rowOff>9525</xdr:rowOff>
    </xdr:from>
    <xdr:to>
      <xdr:col>13</xdr:col>
      <xdr:colOff>172720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3675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3675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581025</xdr:colOff>
      <xdr:row>3</xdr:row>
      <xdr:rowOff>0</xdr:rowOff>
    </xdr:from>
    <xdr:to>
      <xdr:col>13</xdr:col>
      <xdr:colOff>211455</xdr:colOff>
      <xdr:row>16</xdr:row>
      <xdr:rowOff>78105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0.30667</cdr:x>
      <cdr:y>0.22281</cdr:y>
    </cdr:from>
    <cdr:to>
      <cdr:x>0.53394</cdr:x>
      <cdr:y>0.67886</cdr:y>
    </cdr:to>
    <cdr:sp macro="" textlink="'Fig 3.14'!$C$12">
      <cdr:nvSpPr>
        <cdr:cNvPr id="2" name="Elipse 1"/>
        <cdr:cNvSpPr/>
      </cdr:nvSpPr>
      <cdr:spPr>
        <a:xfrm xmlns:a="http://schemas.openxmlformats.org/drawingml/2006/main">
          <a:off x="1943070" y="609600"/>
          <a:ext cx="1439990" cy="1247761"/>
        </a:xfrm>
        <a:prstGeom xmlns:a="http://schemas.openxmlformats.org/drawingml/2006/main" prst="ellipse">
          <a:avLst/>
        </a:prstGeom>
        <a:gradFill xmlns:a="http://schemas.openxmlformats.org/drawingml/2006/main">
          <a:gsLst>
            <a:gs pos="75000">
              <a:sysClr val="window" lastClr="FFFFFF">
                <a:lumMod val="85000"/>
              </a:sysClr>
            </a:gs>
            <a:gs pos="7001">
              <a:sysClr val="window" lastClr="FFFFFF">
                <a:lumMod val="65000"/>
              </a:sysClr>
            </a:gs>
          </a:gsLst>
          <a:lin ang="16200000" scaled="0"/>
        </a:gradFill>
        <a:ln xmlns:a="http://schemas.openxmlformats.org/drawingml/2006/main"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>
          <a:outerShdw blurRad="50800" dist="50800" algn="ctr" rotWithShape="0">
            <a:srgbClr val="000000">
              <a:alpha val="43137"/>
            </a:srgbClr>
          </a:outerShdw>
        </a:effectLst>
        <a:scene3d xmlns:a="http://schemas.openxmlformats.org/drawingml/2006/main">
          <a:camera prst="isometricTopUp">
            <a:rot lat="0" lon="0" rev="0"/>
          </a:camera>
          <a:lightRig rig="threePt" dir="t"/>
        </a:scene3d>
        <a:sp3d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>
          <a:flatTx/>
        </a:bodyPr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2DF3B1C2-0CAB-4413-9D61-C8B1EEA5F07C}" type="TxLink"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93.648.950 passageiros</a:t>
          </a:fld>
          <a:endParaRPr lang="pt-BR" sz="140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10</xdr:col>
      <xdr:colOff>524510</xdr:colOff>
      <xdr:row>45</xdr:row>
      <xdr:rowOff>160655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0.53019</cdr:x>
      <cdr:y>0.28589</cdr:y>
    </cdr:from>
    <cdr:to>
      <cdr:x>0.93309</cdr:x>
      <cdr:y>0.43608</cdr:y>
    </cdr:to>
    <cdr:sp macro="" textlink="'Fig 3.15'!$B$56">
      <cdr:nvSpPr>
        <cdr:cNvPr id="3" name="Retângulo de cantos arredondados 2"/>
        <cdr:cNvSpPr/>
      </cdr:nvSpPr>
      <cdr:spPr>
        <a:xfrm xmlns:a="http://schemas.openxmlformats.org/drawingml/2006/main">
          <a:off x="2863745" y="2404171"/>
          <a:ext cx="2176188" cy="1262993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solidFill>
            <a:schemeClr val="tx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1E179E7B-B585-4465-9E67-9739B1970B2E}" type="TxLink">
            <a:rPr lang="en-US" sz="18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Região Sudeste 46.151.135 passageiros</a:t>
          </a:fld>
          <a:endParaRPr lang="pt-BR" sz="1800">
            <a:solidFill>
              <a:schemeClr val="bg1"/>
            </a:solidFill>
          </a:endParaRP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1</xdr:col>
      <xdr:colOff>565650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SpPr/>
      </xdr:nvSpPr>
      <xdr:spPr>
        <a:xfrm>
          <a:off x="104775" y="38100"/>
          <a:ext cx="186105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171450</xdr:colOff>
      <xdr:row>1</xdr:row>
      <xdr:rowOff>123825</xdr:rowOff>
    </xdr:from>
    <xdr:to>
      <xdr:col>11</xdr:col>
      <xdr:colOff>562610</xdr:colOff>
      <xdr:row>44</xdr:row>
      <xdr:rowOff>170815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0.47068</cdr:x>
      <cdr:y>0.12269</cdr:y>
    </cdr:from>
    <cdr:to>
      <cdr:x>0.95768</cdr:x>
      <cdr:y>0.28995</cdr:y>
    </cdr:to>
    <cdr:sp macro="" textlink="'Fig 3.16'!$B$44">
      <cdr:nvSpPr>
        <cdr:cNvPr id="3" name="Retângulo de cantos arredondados 2"/>
        <cdr:cNvSpPr/>
      </cdr:nvSpPr>
      <cdr:spPr>
        <a:xfrm xmlns:a="http://schemas.openxmlformats.org/drawingml/2006/main">
          <a:off x="2542272" y="1031794"/>
          <a:ext cx="2630438" cy="1406646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7FA302DA-519D-42D1-BCFA-F88D4B227018}" type="TxLink">
            <a:rPr lang="en-US" sz="2000" b="0" i="0" u="none" strike="noStrike">
              <a:solidFill>
                <a:srgbClr val="FFFFFF"/>
              </a:solidFill>
              <a:latin typeface="Calibri"/>
            </a:rPr>
            <a:pPr algn="ctr"/>
            <a:t>Região Nordeste 17.647.990 passageiros</a:t>
          </a:fld>
          <a:endParaRPr lang="pt-BR" sz="2000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0</xdr:col>
      <xdr:colOff>1314450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33350" y="47625"/>
          <a:ext cx="11811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533400</xdr:colOff>
      <xdr:row>1</xdr:row>
      <xdr:rowOff>114300</xdr:rowOff>
    </xdr:from>
    <xdr:to>
      <xdr:col>11</xdr:col>
      <xdr:colOff>38735</xdr:colOff>
      <xdr:row>43</xdr:row>
      <xdr:rowOff>167005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0.48142</cdr:x>
      <cdr:y>0.23808</cdr:y>
    </cdr:from>
    <cdr:to>
      <cdr:x>0.96109</cdr:x>
      <cdr:y>0.38066</cdr:y>
    </cdr:to>
    <cdr:sp macro="" textlink="'Fig 3.17'!$B$27">
      <cdr:nvSpPr>
        <cdr:cNvPr id="3" name="Retângulo de cantos arredondados 2"/>
        <cdr:cNvSpPr/>
      </cdr:nvSpPr>
      <cdr:spPr>
        <a:xfrm xmlns:a="http://schemas.openxmlformats.org/drawingml/2006/main">
          <a:off x="2600325" y="1971838"/>
          <a:ext cx="2590799" cy="118093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2">
            <a:lumMod val="90000"/>
          </a:schemeClr>
        </a:solidFill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160C6241-1CD8-4FB0-8AC2-1D22C3FCC75E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Região Centro-Oeste
12.612.809 passageiros</a:t>
          </a:fld>
          <a:endParaRPr lang="pt-BR" sz="2000">
            <a:solidFill>
              <a:schemeClr val="bg1"/>
            </a:solidFill>
          </a:endParaRPr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123825</xdr:colOff>
      <xdr:row>1</xdr:row>
      <xdr:rowOff>57150</xdr:rowOff>
    </xdr:from>
    <xdr:to>
      <xdr:col>11</xdr:col>
      <xdr:colOff>238760</xdr:colOff>
      <xdr:row>44</xdr:row>
      <xdr:rowOff>65405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0.50533</cdr:x>
      <cdr:y>0.37848</cdr:y>
    </cdr:from>
    <cdr:to>
      <cdr:x>0.90823</cdr:x>
      <cdr:y>0.53916</cdr:y>
    </cdr:to>
    <cdr:sp macro="" textlink="'Fig 3.18'!$B$29">
      <cdr:nvSpPr>
        <cdr:cNvPr id="3" name="Retângulo de cantos arredondados 2"/>
        <cdr:cNvSpPr/>
      </cdr:nvSpPr>
      <cdr:spPr>
        <a:xfrm xmlns:a="http://schemas.openxmlformats.org/drawingml/2006/main">
          <a:off x="2729417" y="3182764"/>
          <a:ext cx="2176188" cy="1351207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CCC00"/>
        </a:solidFill>
        <a:ln xmlns:a="http://schemas.openxmlformats.org/drawingml/2006/main">
          <a:solidFill>
            <a:srgbClr val="808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88FF4C26-7A08-42F5-8245-AD9262E36531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Região Sul 12.173.198 passageiros</a:t>
          </a:fld>
          <a:endParaRPr lang="pt-BR" sz="4400">
            <a:solidFill>
              <a:schemeClr val="bg1"/>
            </a:solidFill>
          </a:endParaRP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581025</xdr:colOff>
      <xdr:row>3</xdr:row>
      <xdr:rowOff>9525</xdr:rowOff>
    </xdr:from>
    <xdr:to>
      <xdr:col>10</xdr:col>
      <xdr:colOff>495935</xdr:colOff>
      <xdr:row>46</xdr:row>
      <xdr:rowOff>46355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0.49448</cdr:x>
      <cdr:y>0.16134</cdr:y>
    </cdr:from>
    <cdr:to>
      <cdr:x>0.89738</cdr:x>
      <cdr:y>0.34966</cdr:y>
    </cdr:to>
    <cdr:sp macro="" textlink="'Fig 3.19'!$B$47">
      <cdr:nvSpPr>
        <cdr:cNvPr id="3" name="Retângulo de cantos arredondados 2"/>
        <cdr:cNvSpPr/>
      </cdr:nvSpPr>
      <cdr:spPr>
        <a:xfrm xmlns:a="http://schemas.openxmlformats.org/drawingml/2006/main">
          <a:off x="2670829" y="1356742"/>
          <a:ext cx="2176188" cy="158364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92D050"/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F879C66D-5C9A-48C4-9346-E5AC5846382A}" type="TxLink">
            <a:rPr lang="en-US" sz="2400" b="0" i="0" u="none" strike="noStrike">
              <a:solidFill>
                <a:schemeClr val="bg1"/>
              </a:solidFill>
              <a:latin typeface="Calibri"/>
            </a:rPr>
            <a:pPr algn="ctr"/>
            <a:t>Região Norte 4.792.059 passageiros</a:t>
          </a:fld>
          <a:endParaRPr lang="pt-BR" sz="4800" b="0">
            <a:solidFill>
              <a:schemeClr val="bg1"/>
            </a:solidFill>
          </a:endParaRP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2</xdr:col>
      <xdr:colOff>590550</xdr:colOff>
      <xdr:row>3</xdr:row>
      <xdr:rowOff>28575</xdr:rowOff>
    </xdr:from>
    <xdr:to>
      <xdr:col>12</xdr:col>
      <xdr:colOff>387985</xdr:colOff>
      <xdr:row>33</xdr:row>
      <xdr:rowOff>79375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12</xdr:col>
      <xdr:colOff>419100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1184775</xdr:colOff>
      <xdr:row>1</xdr:row>
      <xdr:rowOff>161925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SpPr/>
      </xdr:nvSpPr>
      <xdr:spPr>
        <a:xfrm>
          <a:off x="104775" y="38100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13</xdr:col>
      <xdr:colOff>401320</xdr:colOff>
      <xdr:row>46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0</xdr:col>
      <xdr:colOff>1213349</xdr:colOff>
      <xdr:row>1</xdr:row>
      <xdr:rowOff>171450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SpPr/>
      </xdr:nvSpPr>
      <xdr:spPr>
        <a:xfrm>
          <a:off x="133349" y="47625"/>
          <a:ext cx="1080000" cy="3143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1100"/>
            <a:t>Índice</a:t>
          </a:r>
        </a:p>
      </xdr:txBody>
    </xdr:sp>
    <xdr:clientData/>
  </xdr:twoCellAnchor>
  <xdr:twoCellAnchor>
    <xdr:from>
      <xdr:col>3</xdr:col>
      <xdr:colOff>590550</xdr:colOff>
      <xdr:row>2</xdr:row>
      <xdr:rowOff>104775</xdr:rowOff>
    </xdr:from>
    <xdr:to>
      <xdr:col>14</xdr:col>
      <xdr:colOff>220345</xdr:colOff>
      <xdr:row>16</xdr:row>
      <xdr:rowOff>130810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5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34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3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36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37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39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40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41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4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4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44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4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46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47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4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49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50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51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52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53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5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5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56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5.xml"/><Relationship Id="rId1" Type="http://schemas.openxmlformats.org/officeDocument/2006/relationships/printerSettings" Target="../printerSettings/printerSettings57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59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60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61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62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1.xml"/><Relationship Id="rId1" Type="http://schemas.openxmlformats.org/officeDocument/2006/relationships/printerSettings" Target="../printerSettings/printerSettings63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64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65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6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67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68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69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3.xml"/><Relationship Id="rId1" Type="http://schemas.openxmlformats.org/officeDocument/2006/relationships/printerSettings" Target="../printerSettings/printerSettings70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71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72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73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9.xml"/><Relationship Id="rId1" Type="http://schemas.openxmlformats.org/officeDocument/2006/relationships/printerSettings" Target="../printerSettings/printerSettings74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75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76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3.xml"/><Relationship Id="rId1" Type="http://schemas.openxmlformats.org/officeDocument/2006/relationships/printerSettings" Target="../printerSettings/printerSettings77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78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79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80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8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82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6.xml"/><Relationship Id="rId1" Type="http://schemas.openxmlformats.org/officeDocument/2006/relationships/printerSettings" Target="../printerSettings/printerSettings83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2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2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2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2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2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29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30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3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3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H401"/>
  <sheetViews>
    <sheetView showGridLines="0" tabSelected="1" workbookViewId="0">
      <selection activeCell="D3" sqref="D3"/>
    </sheetView>
  </sheetViews>
  <sheetFormatPr defaultRowHeight="15" x14ac:dyDescent="0.25"/>
  <cols>
    <col min="1" max="1" width="155" bestFit="1" customWidth="1"/>
    <col min="2" max="2" width="9.140625" style="78" customWidth="1"/>
    <col min="3" max="3" width="13.85546875" style="78" customWidth="1"/>
    <col min="4" max="4" width="22.5703125" style="78" customWidth="1"/>
    <col min="5" max="5" width="17.7109375" style="78" customWidth="1"/>
    <col min="6" max="6" width="9.140625" style="78" customWidth="1"/>
  </cols>
  <sheetData>
    <row r="1" spans="1:8" ht="18.75" x14ac:dyDescent="0.3">
      <c r="A1" s="107" t="s">
        <v>371</v>
      </c>
      <c r="G1" s="78"/>
      <c r="H1" s="78"/>
    </row>
    <row r="2" spans="1:8" ht="4.5" customHeight="1" x14ac:dyDescent="0.25">
      <c r="G2" s="78"/>
    </row>
    <row r="3" spans="1:8" ht="18.75" x14ac:dyDescent="0.3">
      <c r="A3" s="108" t="s">
        <v>1112</v>
      </c>
      <c r="B3" s="183"/>
      <c r="D3" s="183"/>
      <c r="F3" s="78">
        <v>10</v>
      </c>
      <c r="G3" s="78"/>
    </row>
    <row r="4" spans="1:8" x14ac:dyDescent="0.25">
      <c r="A4" s="166" t="str">
        <f t="shared" ref="A4:A10" si="0">E4</f>
        <v>Figura 1.1: Quantidade de empregados por categoria – empresas aéreas brasileiras, 2013 a 2018</v>
      </c>
      <c r="B4" s="183" t="str">
        <f t="shared" ref="B4:B10" si="1">LEFT(A4,3)&amp;" "&amp;MID(A4,8,FIND(":",A4)-8)</f>
        <v>Fig 1.1</v>
      </c>
      <c r="C4" s="78" t="str">
        <f t="shared" ref="C4:C10" si="2">"Figura "&amp;MID(B4,FIND(" ",B4)+1,LEN(B4)-FIND(" ",B4))</f>
        <v>Figura 1.1</v>
      </c>
      <c r="D4" s="183" t="str">
        <f t="shared" ref="D4:D10" si="3">RIGHT(A4,LEN(A4)-FIND(":",A4)-1)</f>
        <v>Quantidade de empregados por categoria – empresas aéreas brasileiras, 2013 a 2018</v>
      </c>
      <c r="E4" s="78" t="s">
        <v>886</v>
      </c>
      <c r="F4" s="78">
        <v>11</v>
      </c>
      <c r="G4" s="78"/>
    </row>
    <row r="5" spans="1:8" x14ac:dyDescent="0.25">
      <c r="A5" s="166" t="str">
        <f t="shared" si="0"/>
        <v>Figura 1.2: Proporção de empregados por categoria – empresas aéreas brasileiras, 2018</v>
      </c>
      <c r="B5" s="183" t="str">
        <f t="shared" si="1"/>
        <v>Fig 1.2</v>
      </c>
      <c r="C5" s="78" t="str">
        <f t="shared" si="2"/>
        <v>Figura 1.2</v>
      </c>
      <c r="D5" s="183" t="str">
        <f t="shared" si="3"/>
        <v>Proporção de empregados por categoria – empresas aéreas brasileiras, 2018</v>
      </c>
      <c r="E5" s="78" t="s">
        <v>887</v>
      </c>
      <c r="F5" s="78">
        <v>12</v>
      </c>
      <c r="G5" s="78"/>
    </row>
    <row r="6" spans="1:8" x14ac:dyDescent="0.25">
      <c r="A6" s="166" t="str">
        <f t="shared" si="0"/>
        <v>Figura 1.3: Quantidade de empregados por aeronave – empresas aéreas brasileiras, 2016 a 2018</v>
      </c>
      <c r="B6" s="183" t="str">
        <f t="shared" si="1"/>
        <v>Fig 1.3</v>
      </c>
      <c r="C6" s="78" t="str">
        <f t="shared" si="2"/>
        <v>Figura 1.3</v>
      </c>
      <c r="D6" s="183" t="str">
        <f t="shared" si="3"/>
        <v>Quantidade de empregados por aeronave – empresas aéreas brasileiras, 2016 a 2018</v>
      </c>
      <c r="E6" s="78" t="s">
        <v>888</v>
      </c>
      <c r="F6" s="78">
        <v>15</v>
      </c>
      <c r="G6" s="78"/>
    </row>
    <row r="7" spans="1:8" x14ac:dyDescent="0.25">
      <c r="A7" s="166" t="str">
        <f t="shared" si="0"/>
        <v>Figura 1.4: Proporção de pilotos e co-pilotos no total de empregados – empresas aéreas brasileiras, 2016 a 2018</v>
      </c>
      <c r="B7" s="183" t="str">
        <f t="shared" si="1"/>
        <v>Fig 1.4</v>
      </c>
      <c r="C7" s="78" t="str">
        <f t="shared" si="2"/>
        <v>Figura 1.4</v>
      </c>
      <c r="D7" s="183" t="str">
        <f t="shared" si="3"/>
        <v>Proporção de pilotos e co-pilotos no total de empregados – empresas aéreas brasileiras, 2016 a 2018</v>
      </c>
      <c r="E7" s="78" t="s">
        <v>889</v>
      </c>
      <c r="F7" s="78">
        <v>15</v>
      </c>
      <c r="G7" s="78"/>
    </row>
    <row r="8" spans="1:8" x14ac:dyDescent="0.25">
      <c r="A8" s="166" t="str">
        <f t="shared" si="0"/>
        <v>Figura 1.5: Número de pilotos e co-pilotos por mil decolagens – empresas aéreas brasileiras, 2016 a 2018</v>
      </c>
      <c r="B8" s="183" t="str">
        <f t="shared" si="1"/>
        <v>Fig 1.5</v>
      </c>
      <c r="C8" s="78" t="str">
        <f t="shared" si="2"/>
        <v>Figura 1.5</v>
      </c>
      <c r="D8" s="183" t="str">
        <f t="shared" si="3"/>
        <v>Número de pilotos e co-pilotos por mil decolagens – empresas aéreas brasileiras, 2016 a 2018</v>
      </c>
      <c r="E8" s="78" t="s">
        <v>890</v>
      </c>
      <c r="F8" s="78">
        <v>16</v>
      </c>
      <c r="G8" s="78"/>
    </row>
    <row r="9" spans="1:8" x14ac:dyDescent="0.25">
      <c r="A9" s="166" t="str">
        <f t="shared" si="0"/>
        <v>Figura 1.6: Quantidade de aeronaves por fabricante – empresas aéreas brasileiras, 2014 a 2018</v>
      </c>
      <c r="B9" s="183" t="str">
        <f t="shared" si="1"/>
        <v>Fig 1.6</v>
      </c>
      <c r="C9" s="78" t="str">
        <f t="shared" si="2"/>
        <v>Figura 1.6</v>
      </c>
      <c r="D9" s="183" t="str">
        <f t="shared" si="3"/>
        <v>Quantidade de aeronaves por fabricante – empresas aéreas brasileiras, 2014 a 2018</v>
      </c>
      <c r="E9" s="78" t="s">
        <v>891</v>
      </c>
      <c r="F9" s="78">
        <v>17</v>
      </c>
      <c r="G9" s="78"/>
    </row>
    <row r="10" spans="1:8" x14ac:dyDescent="0.25">
      <c r="A10" s="166" t="str">
        <f t="shared" si="0"/>
        <v>Figura 1.7: Proporção de aeronaves por assentos de passageiro instalados – empresas aéreas brasileiras, 2018</v>
      </c>
      <c r="B10" s="183" t="str">
        <f t="shared" si="1"/>
        <v>Fig 1.7</v>
      </c>
      <c r="C10" s="78" t="str">
        <f t="shared" si="2"/>
        <v>Figura 1.7</v>
      </c>
      <c r="D10" s="183" t="str">
        <f t="shared" si="3"/>
        <v>Proporção de aeronaves por assentos de passageiro instalados – empresas aéreas brasileiras, 2018</v>
      </c>
      <c r="E10" s="78" t="s">
        <v>892</v>
      </c>
      <c r="F10" s="78">
        <v>17</v>
      </c>
      <c r="G10" s="78"/>
    </row>
    <row r="11" spans="1:8" ht="18.75" x14ac:dyDescent="0.3">
      <c r="A11" s="108" t="s">
        <v>1113</v>
      </c>
      <c r="B11" s="183"/>
      <c r="D11" s="183"/>
      <c r="F11" s="78">
        <v>19</v>
      </c>
      <c r="G11" s="78"/>
    </row>
    <row r="12" spans="1:8" x14ac:dyDescent="0.25">
      <c r="A12" s="166" t="str">
        <f t="shared" ref="A12:A56" si="4">E12</f>
        <v>Figura 2.1: Evolução da quantidade de voos – mercados doméstico e internacional, 2009 a 2018</v>
      </c>
      <c r="B12" s="183" t="str">
        <f t="shared" ref="B12:B56" si="5">LEFT(A12,3)&amp;" "&amp;MID(A12,8,FIND(":",A12)-8)</f>
        <v>Fig 2.1</v>
      </c>
      <c r="C12" s="78" t="str">
        <f t="shared" ref="C12:C56" si="6">"Figura "&amp;MID(B12,FIND(" ",B12)+1,LEN(B12)-FIND(" ",B12))</f>
        <v>Figura 2.1</v>
      </c>
      <c r="D12" s="183" t="str">
        <f t="shared" ref="D12:D56" si="7">RIGHT(A12,LEN(A12)-FIND(":",A12)-1)</f>
        <v>Evolução da quantidade de voos – mercados doméstico e internacional, 2009 a 2018</v>
      </c>
      <c r="E12" s="78" t="s">
        <v>893</v>
      </c>
      <c r="F12" s="78">
        <v>20</v>
      </c>
      <c r="G12" s="78"/>
    </row>
    <row r="13" spans="1:8" x14ac:dyDescent="0.25">
      <c r="A13" s="166" t="str">
        <f t="shared" si="4"/>
        <v>Figura 2.2: Variação na quantidade de voos com relação ao ano anterior – mercados doméstico e internacional, 2009 a 2018</v>
      </c>
      <c r="B13" s="183" t="str">
        <f t="shared" si="5"/>
        <v>Fig 2.2</v>
      </c>
      <c r="C13" s="78" t="str">
        <f t="shared" si="6"/>
        <v>Figura 2.2</v>
      </c>
      <c r="D13" s="183" t="str">
        <f t="shared" si="7"/>
        <v>Variação na quantidade de voos com relação ao ano anterior – mercados doméstico e internacional, 2009 a 2018</v>
      </c>
      <c r="E13" s="78" t="s">
        <v>894</v>
      </c>
      <c r="F13" s="78">
        <v>21</v>
      </c>
      <c r="G13" s="78"/>
    </row>
    <row r="14" spans="1:8" x14ac:dyDescent="0.25">
      <c r="A14" s="166" t="str">
        <f t="shared" si="4"/>
        <v>Figura 2.3: Variação na quantidade de voos com relação ao mesmo mês do ano anterior – mercados doméstico e internacional, 2018</v>
      </c>
      <c r="B14" s="183" t="str">
        <f t="shared" si="5"/>
        <v>Fig 2.3</v>
      </c>
      <c r="C14" s="78" t="str">
        <f t="shared" si="6"/>
        <v>Figura 2.3</v>
      </c>
      <c r="D14" s="183" t="str">
        <f t="shared" si="7"/>
        <v>Variação na quantidade de voos com relação ao mesmo mês do ano anterior – mercados doméstico e internacional, 2018</v>
      </c>
      <c r="E14" s="78" t="s">
        <v>895</v>
      </c>
      <c r="F14" s="78">
        <v>22</v>
      </c>
      <c r="G14" s="78"/>
    </row>
    <row r="15" spans="1:8" x14ac:dyDescent="0.25">
      <c r="A15" s="166" t="str">
        <f t="shared" si="4"/>
        <v>Figura 2.4: Evolução da quantidade de voos – mercado doméstico, 2009 a 2018</v>
      </c>
      <c r="B15" s="183" t="str">
        <f t="shared" si="5"/>
        <v>Fig 2.4</v>
      </c>
      <c r="C15" s="78" t="str">
        <f t="shared" si="6"/>
        <v>Figura 2.4</v>
      </c>
      <c r="D15" s="183" t="str">
        <f t="shared" si="7"/>
        <v>Evolução da quantidade de voos – mercado doméstico, 2009 a 2018</v>
      </c>
      <c r="E15" s="78" t="s">
        <v>896</v>
      </c>
      <c r="F15" s="78">
        <v>22</v>
      </c>
      <c r="G15" s="78"/>
    </row>
    <row r="16" spans="1:8" x14ac:dyDescent="0.25">
      <c r="A16" s="166" t="str">
        <f t="shared" si="4"/>
        <v>Figura 2.5: Variação na quantidade de voos com relação ao ano anterior – mercado doméstico, 2009 a 2018</v>
      </c>
      <c r="B16" s="183" t="str">
        <f t="shared" si="5"/>
        <v>Fig 2.5</v>
      </c>
      <c r="C16" s="78" t="str">
        <f t="shared" si="6"/>
        <v>Figura 2.5</v>
      </c>
      <c r="D16" s="183" t="str">
        <f t="shared" si="7"/>
        <v>Variação na quantidade de voos com relação ao ano anterior – mercado doméstico, 2009 a 2018</v>
      </c>
      <c r="E16" s="78" t="s">
        <v>897</v>
      </c>
      <c r="F16" s="78">
        <v>23</v>
      </c>
      <c r="G16" s="78"/>
    </row>
    <row r="17" spans="1:7" x14ac:dyDescent="0.25">
      <c r="A17" s="166" t="str">
        <f t="shared" si="4"/>
        <v>Figura 2.6: Variação na quantidade de voos com relação ao mesmo mês do ano anterior – mercado doméstico, 2018</v>
      </c>
      <c r="B17" s="183" t="str">
        <f t="shared" si="5"/>
        <v>Fig 2.6</v>
      </c>
      <c r="C17" s="78" t="str">
        <f t="shared" si="6"/>
        <v>Figura 2.6</v>
      </c>
      <c r="D17" s="183" t="str">
        <f t="shared" si="7"/>
        <v>Variação na quantidade de voos com relação ao mesmo mês do ano anterior – mercado doméstico, 2018</v>
      </c>
      <c r="E17" s="78" t="s">
        <v>898</v>
      </c>
      <c r="F17" s="78">
        <v>23</v>
      </c>
      <c r="G17" s="78"/>
    </row>
    <row r="18" spans="1:7" x14ac:dyDescent="0.25">
      <c r="A18" s="166" t="str">
        <f t="shared" si="4"/>
        <v>Figura 2.7: Participação das quatro principais empresas no número de voos – mercado doméstico, 2018</v>
      </c>
      <c r="B18" s="183" t="str">
        <f t="shared" si="5"/>
        <v>Fig 2.7</v>
      </c>
      <c r="C18" s="78" t="str">
        <f t="shared" si="6"/>
        <v>Figura 2.7</v>
      </c>
      <c r="D18" s="183" t="str">
        <f t="shared" si="7"/>
        <v>Participação das quatro principais empresas no número de voos – mercado doméstico, 2018</v>
      </c>
      <c r="E18" s="78" t="s">
        <v>899</v>
      </c>
      <c r="F18" s="78">
        <v>24</v>
      </c>
      <c r="G18" s="78"/>
    </row>
    <row r="19" spans="1:7" x14ac:dyDescent="0.25">
      <c r="A19" s="166" t="str">
        <f t="shared" si="4"/>
        <v>Figura 2.8: Variação na quantidade de voos com relação ao ano anterior por empresa – mercado doméstico, 2018</v>
      </c>
      <c r="B19" s="183" t="str">
        <f t="shared" si="5"/>
        <v>Fig 2.8</v>
      </c>
      <c r="C19" s="78" t="str">
        <f t="shared" si="6"/>
        <v>Figura 2.8</v>
      </c>
      <c r="D19" s="183" t="str">
        <f t="shared" si="7"/>
        <v>Variação na quantidade de voos com relação ao ano anterior por empresa – mercado doméstico, 2018</v>
      </c>
      <c r="E19" s="78" t="s">
        <v>900</v>
      </c>
      <c r="F19" s="78">
        <v>24</v>
      </c>
      <c r="G19" s="78"/>
    </row>
    <row r="20" spans="1:7" x14ac:dyDescent="0.25">
      <c r="A20" s="166" t="str">
        <f t="shared" si="4"/>
        <v>Figura 2.9: Participação dos 20 principais aeroportos na quantidade de decolagens – mercado doméstico, 2018</v>
      </c>
      <c r="B20" s="183" t="str">
        <f t="shared" si="5"/>
        <v>Fig 2.9</v>
      </c>
      <c r="C20" s="78" t="str">
        <f t="shared" si="6"/>
        <v>Figura 2.9</v>
      </c>
      <c r="D20" s="183" t="str">
        <f t="shared" si="7"/>
        <v>Participação dos 20 principais aeroportos na quantidade de decolagens – mercado doméstico, 2018</v>
      </c>
      <c r="E20" s="78" t="s">
        <v>901</v>
      </c>
      <c r="F20" s="78">
        <v>24</v>
      </c>
      <c r="G20" s="78"/>
    </row>
    <row r="21" spans="1:7" x14ac:dyDescent="0.25">
      <c r="A21" s="166" t="str">
        <f t="shared" si="4"/>
        <v>Figura 2.10: Variação da quantidade de decolagens nos 20 principais aeroportos com relação ao ano anterior – mercado doméstico, 2018</v>
      </c>
      <c r="B21" s="183" t="str">
        <f t="shared" si="5"/>
        <v>Fig 2.10</v>
      </c>
      <c r="C21" s="78" t="str">
        <f t="shared" si="6"/>
        <v>Figura 2.10</v>
      </c>
      <c r="D21" s="183" t="str">
        <f t="shared" si="7"/>
        <v>Variação da quantidade de decolagens nos 20 principais aeroportos com relação ao ano anterior – mercado doméstico, 2018</v>
      </c>
      <c r="E21" s="78" t="s">
        <v>902</v>
      </c>
      <c r="F21" s="78">
        <v>25</v>
      </c>
      <c r="G21" s="78"/>
    </row>
    <row r="22" spans="1:7" x14ac:dyDescent="0.25">
      <c r="A22" s="166" t="str">
        <f t="shared" si="4"/>
        <v>Figura 2.11: Quantidade de decolagens por região (milhares) – mercado doméstico, 2018</v>
      </c>
      <c r="B22" s="183" t="str">
        <f t="shared" si="5"/>
        <v>Fig 2.11</v>
      </c>
      <c r="C22" s="78" t="str">
        <f t="shared" si="6"/>
        <v>Figura 2.11</v>
      </c>
      <c r="D22" s="183" t="str">
        <f t="shared" si="7"/>
        <v>Quantidade de decolagens por região (milhares) – mercado doméstico, 2018</v>
      </c>
      <c r="E22" s="78" t="s">
        <v>903</v>
      </c>
      <c r="F22" s="78">
        <v>25</v>
      </c>
      <c r="G22" s="78"/>
    </row>
    <row r="23" spans="1:7" x14ac:dyDescent="0.25">
      <c r="A23" s="166" t="str">
        <f t="shared" si="4"/>
        <v>Figura 2.12: Quantidade de decolagens por mil de habitantes por região – mercado doméstico, 2018</v>
      </c>
      <c r="B23" s="183" t="str">
        <f t="shared" si="5"/>
        <v>Fig 2.12</v>
      </c>
      <c r="C23" s="78" t="str">
        <f t="shared" si="6"/>
        <v>Figura 2.12</v>
      </c>
      <c r="D23" s="183" t="str">
        <f t="shared" si="7"/>
        <v>Quantidade de decolagens por mil de habitantes por região – mercado doméstico, 2018</v>
      </c>
      <c r="E23" s="78" t="s">
        <v>904</v>
      </c>
      <c r="F23" s="78">
        <v>26</v>
      </c>
      <c r="G23" s="78"/>
    </row>
    <row r="24" spans="1:7" x14ac:dyDescent="0.25">
      <c r="A24" s="166" t="str">
        <f t="shared" si="4"/>
        <v>Figura 2.13: Variação no número de decolagens por região com relação ao ano anterior – mercado doméstico, 2018</v>
      </c>
      <c r="B24" s="183" t="str">
        <f t="shared" si="5"/>
        <v>Fig 2.13</v>
      </c>
      <c r="C24" s="78" t="str">
        <f t="shared" si="6"/>
        <v>Figura 2.13</v>
      </c>
      <c r="D24" s="183" t="str">
        <f t="shared" si="7"/>
        <v>Variação no número de decolagens por região com relação ao ano anterior – mercado doméstico, 2018</v>
      </c>
      <c r="E24" s="78" t="s">
        <v>905</v>
      </c>
      <c r="F24" s="78">
        <v>27</v>
      </c>
      <c r="G24" s="78"/>
    </row>
    <row r="25" spans="1:7" x14ac:dyDescent="0.25">
      <c r="A25" s="166" t="str">
        <f t="shared" si="4"/>
        <v>Figura 2.14: Evolução do ASK – mercado doméstico, 2009 a 2018</v>
      </c>
      <c r="B25" s="183" t="str">
        <f t="shared" si="5"/>
        <v>Fig 2.14</v>
      </c>
      <c r="C25" s="78" t="str">
        <f t="shared" si="6"/>
        <v>Figura 2.14</v>
      </c>
      <c r="D25" s="183" t="str">
        <f t="shared" si="7"/>
        <v>Evolução do ASK – mercado doméstico, 2009 a 2018</v>
      </c>
      <c r="E25" s="78" t="s">
        <v>906</v>
      </c>
      <c r="F25" s="78">
        <v>28</v>
      </c>
      <c r="G25" s="78"/>
    </row>
    <row r="26" spans="1:7" x14ac:dyDescent="0.25">
      <c r="A26" s="166" t="str">
        <f t="shared" si="4"/>
        <v>Figura 2.15: Variação do ASK em relação ao ano anterior – mercado doméstico, 2009 a 2018</v>
      </c>
      <c r="B26" s="183" t="str">
        <f t="shared" si="5"/>
        <v>Fig 2.15</v>
      </c>
      <c r="C26" s="78" t="str">
        <f t="shared" si="6"/>
        <v>Figura 2.15</v>
      </c>
      <c r="D26" s="183" t="str">
        <f t="shared" si="7"/>
        <v>Variação do ASK em relação ao ano anterior – mercado doméstico, 2009 a 2018</v>
      </c>
      <c r="E26" s="78" t="s">
        <v>907</v>
      </c>
      <c r="F26" s="78">
        <v>29</v>
      </c>
      <c r="G26" s="78"/>
    </row>
    <row r="27" spans="1:7" x14ac:dyDescent="0.25">
      <c r="A27" s="166" t="str">
        <f t="shared" si="4"/>
        <v>Figura 2.16: Variação no ASK com relação ao mesmo mês do ano anterior – mercado doméstico, 2018</v>
      </c>
      <c r="B27" s="183" t="str">
        <f t="shared" si="5"/>
        <v>Fig 2.16</v>
      </c>
      <c r="C27" s="78" t="str">
        <f t="shared" si="6"/>
        <v>Figura 2.16</v>
      </c>
      <c r="D27" s="183" t="str">
        <f t="shared" si="7"/>
        <v>Variação no ASK com relação ao mesmo mês do ano anterior – mercado doméstico, 2018</v>
      </c>
      <c r="E27" s="78" t="s">
        <v>908</v>
      </c>
      <c r="F27" s="78">
        <v>30</v>
      </c>
      <c r="G27" s="78"/>
    </row>
    <row r="28" spans="1:7" x14ac:dyDescent="0.25">
      <c r="A28" s="166" t="str">
        <f t="shared" si="4"/>
        <v>Figura 2.17: Participação das quatro maiores empresas no ASK – mercado doméstico, 2018</v>
      </c>
      <c r="B28" s="183" t="str">
        <f t="shared" si="5"/>
        <v>Fig 2.17</v>
      </c>
      <c r="C28" s="78" t="str">
        <f t="shared" si="6"/>
        <v>Figura 2.17</v>
      </c>
      <c r="D28" s="183" t="str">
        <f t="shared" si="7"/>
        <v>Participação das quatro maiores empresas no ASK – mercado doméstico, 2018</v>
      </c>
      <c r="E28" s="78" t="s">
        <v>909</v>
      </c>
      <c r="F28" s="78">
        <v>31</v>
      </c>
      <c r="G28" s="78"/>
    </row>
    <row r="29" spans="1:7" x14ac:dyDescent="0.25">
      <c r="A29" s="166" t="str">
        <f t="shared" si="4"/>
        <v>Figura 2.18: Variação do ASK com relação ao ano anterior por empresa – mercado doméstico, 2018</v>
      </c>
      <c r="B29" s="183" t="str">
        <f t="shared" si="5"/>
        <v>Fig 2.18</v>
      </c>
      <c r="C29" s="78" t="str">
        <f t="shared" si="6"/>
        <v>Figura 2.18</v>
      </c>
      <c r="D29" s="183" t="str">
        <f t="shared" si="7"/>
        <v>Variação do ASK com relação ao ano anterior por empresa – mercado doméstico, 2018</v>
      </c>
      <c r="E29" s="78" t="s">
        <v>910</v>
      </c>
      <c r="F29" s="78">
        <v>32</v>
      </c>
      <c r="G29" s="78"/>
    </row>
    <row r="30" spans="1:7" x14ac:dyDescent="0.25">
      <c r="A30" s="166" t="str">
        <f t="shared" si="4"/>
        <v>Figura 2.19: Variação no ASK com relação ao mesmo mês do ano anterior – Latam e Gol – mercado doméstico, 2018</v>
      </c>
      <c r="B30" s="183" t="str">
        <f t="shared" si="5"/>
        <v>Fig 2.19</v>
      </c>
      <c r="C30" s="78" t="str">
        <f t="shared" si="6"/>
        <v>Figura 2.19</v>
      </c>
      <c r="D30" s="183" t="str">
        <f t="shared" si="7"/>
        <v>Variação no ASK com relação ao mesmo mês do ano anterior – Latam e Gol – mercado doméstico, 2018</v>
      </c>
      <c r="E30" s="78" t="s">
        <v>911</v>
      </c>
      <c r="F30" s="78">
        <v>33</v>
      </c>
      <c r="G30" s="78"/>
    </row>
    <row r="31" spans="1:7" x14ac:dyDescent="0.25">
      <c r="A31" s="166" t="str">
        <f t="shared" si="4"/>
        <v>Figura 2.20: Variação no ASK com relação ao mesmo mês do ano anterior – Azul, Avianca – mercado doméstico, 2018</v>
      </c>
      <c r="B31" s="183" t="str">
        <f t="shared" si="5"/>
        <v>Fig 2.20</v>
      </c>
      <c r="C31" s="78" t="str">
        <f t="shared" si="6"/>
        <v>Figura 2.20</v>
      </c>
      <c r="D31" s="183" t="str">
        <f t="shared" si="7"/>
        <v>Variação no ASK com relação ao mesmo mês do ano anterior – Azul, Avianca – mercado doméstico, 2018</v>
      </c>
      <c r="E31" s="78" t="s">
        <v>912</v>
      </c>
      <c r="F31" s="78">
        <v>33</v>
      </c>
      <c r="G31" s="78"/>
    </row>
    <row r="32" spans="1:7" x14ac:dyDescent="0.25">
      <c r="A32" s="166" t="str">
        <f t="shared" si="4"/>
        <v>Figura 2.21: Quantidade de aeroportos utilizados para voos domésticos regulares e não regulares por unidade da federação, 2018</v>
      </c>
      <c r="B32" s="183" t="str">
        <f t="shared" si="5"/>
        <v>Fig 2.21</v>
      </c>
      <c r="C32" s="78" t="str">
        <f t="shared" si="6"/>
        <v>Figura 2.21</v>
      </c>
      <c r="D32" s="183" t="str">
        <f t="shared" si="7"/>
        <v>Quantidade de aeroportos utilizados para voos domésticos regulares e não regulares por unidade da federação, 2018</v>
      </c>
      <c r="E32" s="78" t="s">
        <v>913</v>
      </c>
      <c r="F32" s="78">
        <v>34</v>
      </c>
      <c r="G32" s="78"/>
    </row>
    <row r="33" spans="1:7" x14ac:dyDescent="0.25">
      <c r="A33" s="166" t="str">
        <f t="shared" si="4"/>
        <v>Figura 2.22: Decolagens por estado e aeroporto – região Sudeste, 2018</v>
      </c>
      <c r="B33" s="183" t="str">
        <f t="shared" si="5"/>
        <v>Fig 2.22</v>
      </c>
      <c r="C33" s="78" t="str">
        <f t="shared" si="6"/>
        <v>Figura 2.22</v>
      </c>
      <c r="D33" s="183" t="str">
        <f t="shared" si="7"/>
        <v>Decolagens por estado e aeroporto – região Sudeste, 2018</v>
      </c>
      <c r="E33" s="78" t="s">
        <v>914</v>
      </c>
      <c r="F33" s="78">
        <v>34</v>
      </c>
      <c r="G33" s="78"/>
    </row>
    <row r="34" spans="1:7" x14ac:dyDescent="0.25">
      <c r="A34" s="166" t="str">
        <f t="shared" si="4"/>
        <v>Figura 2.23: Decolagens por estado e aeroporto – região Nordeste, 2018</v>
      </c>
      <c r="B34" s="183" t="str">
        <f t="shared" si="5"/>
        <v>Fig 2.23</v>
      </c>
      <c r="C34" s="78" t="str">
        <f t="shared" si="6"/>
        <v>Figura 2.23</v>
      </c>
      <c r="D34" s="183" t="str">
        <f t="shared" si="7"/>
        <v>Decolagens por estado e aeroporto – região Nordeste, 2018</v>
      </c>
      <c r="E34" s="78" t="s">
        <v>915</v>
      </c>
      <c r="F34" s="78">
        <v>34</v>
      </c>
      <c r="G34" s="78"/>
    </row>
    <row r="35" spans="1:7" x14ac:dyDescent="0.25">
      <c r="A35" s="166" t="str">
        <f t="shared" si="4"/>
        <v>Figura 2.24: Decolagens por estado e aeroporto – região Sul, 2018</v>
      </c>
      <c r="B35" s="183" t="str">
        <f t="shared" si="5"/>
        <v>Fig 2.24</v>
      </c>
      <c r="C35" s="78" t="str">
        <f t="shared" si="6"/>
        <v>Figura 2.24</v>
      </c>
      <c r="D35" s="183" t="str">
        <f t="shared" si="7"/>
        <v>Decolagens por estado e aeroporto – região Sul, 2018</v>
      </c>
      <c r="E35" s="78" t="s">
        <v>916</v>
      </c>
      <c r="F35" s="78">
        <v>35</v>
      </c>
      <c r="G35" s="78"/>
    </row>
    <row r="36" spans="1:7" x14ac:dyDescent="0.25">
      <c r="A36" s="166" t="str">
        <f t="shared" si="4"/>
        <v>Figura 2.25: Decolagens por estado e aeroporto – região Centro-Oeste, 2018</v>
      </c>
      <c r="B36" s="183" t="str">
        <f t="shared" si="5"/>
        <v>Fig 2.25</v>
      </c>
      <c r="C36" s="78" t="str">
        <f t="shared" si="6"/>
        <v>Figura 2.25</v>
      </c>
      <c r="D36" s="183" t="str">
        <f t="shared" si="7"/>
        <v>Decolagens por estado e aeroporto – região Centro-Oeste, 2018</v>
      </c>
      <c r="E36" s="78" t="s">
        <v>917</v>
      </c>
      <c r="F36" s="78">
        <v>35</v>
      </c>
      <c r="G36" s="78"/>
    </row>
    <row r="37" spans="1:7" x14ac:dyDescent="0.25">
      <c r="A37" s="166" t="str">
        <f t="shared" si="4"/>
        <v>Figura 2.26: Decolagens por estado e aeroporto – região Norte, 2018</v>
      </c>
      <c r="B37" s="183" t="str">
        <f t="shared" si="5"/>
        <v>Fig 2.26</v>
      </c>
      <c r="C37" s="78" t="str">
        <f t="shared" si="6"/>
        <v>Figura 2.26</v>
      </c>
      <c r="D37" s="183" t="str">
        <f t="shared" si="7"/>
        <v>Decolagens por estado e aeroporto – região Norte, 2018</v>
      </c>
      <c r="E37" s="78" t="s">
        <v>918</v>
      </c>
      <c r="F37" s="78">
        <v>36</v>
      </c>
      <c r="G37" s="78"/>
    </row>
    <row r="38" spans="1:7" x14ac:dyDescent="0.25">
      <c r="A38" s="166" t="str">
        <f t="shared" si="4"/>
        <v>Figura 2.27: Aeroportos utilizados por empresa – mercado doméstico, 2017 e 2018</v>
      </c>
      <c r="B38" s="183" t="str">
        <f t="shared" si="5"/>
        <v>Fig 2.27</v>
      </c>
      <c r="C38" s="78" t="str">
        <f t="shared" si="6"/>
        <v>Figura 2.27</v>
      </c>
      <c r="D38" s="183" t="str">
        <f t="shared" si="7"/>
        <v>Aeroportos utilizados por empresa – mercado doméstico, 2017 e 2018</v>
      </c>
      <c r="E38" s="78" t="s">
        <v>919</v>
      </c>
      <c r="F38" s="78">
        <v>36</v>
      </c>
      <c r="G38" s="78"/>
    </row>
    <row r="39" spans="1:7" x14ac:dyDescent="0.25">
      <c r="A39" s="166" t="str">
        <f t="shared" si="4"/>
        <v>Figura 2.28: Evolução do número de voos realizados – mercado internacional, 2009 a 2018</v>
      </c>
      <c r="B39" s="183" t="str">
        <f t="shared" si="5"/>
        <v>Fig 2.28</v>
      </c>
      <c r="C39" s="78" t="str">
        <f t="shared" si="6"/>
        <v>Figura 2.28</v>
      </c>
      <c r="D39" s="183" t="str">
        <f t="shared" si="7"/>
        <v>Evolução do número de voos realizados – mercado internacional, 2009 a 2018</v>
      </c>
      <c r="E39" s="78" t="s">
        <v>920</v>
      </c>
      <c r="F39" s="78">
        <v>37</v>
      </c>
      <c r="G39" s="78"/>
    </row>
    <row r="40" spans="1:7" x14ac:dyDescent="0.25">
      <c r="A40" s="166" t="str">
        <f t="shared" si="4"/>
        <v>Figura 2.29: Variação no número de voos realizados em relação ao ano anterior – mercado internacional, 2009 a 2018</v>
      </c>
      <c r="B40" s="183" t="str">
        <f t="shared" si="5"/>
        <v>Fig 2.29</v>
      </c>
      <c r="C40" s="78" t="str">
        <f t="shared" si="6"/>
        <v>Figura 2.29</v>
      </c>
      <c r="D40" s="183" t="str">
        <f t="shared" si="7"/>
        <v>Variação no número de voos realizados em relação ao ano anterior – mercado internacional, 2009 a 2018</v>
      </c>
      <c r="E40" s="78" t="s">
        <v>921</v>
      </c>
      <c r="F40" s="78">
        <v>38</v>
      </c>
      <c r="G40" s="78"/>
    </row>
    <row r="41" spans="1:7" x14ac:dyDescent="0.25">
      <c r="A41" s="166" t="str">
        <f t="shared" si="4"/>
        <v>Figura 2.30: Variação no número de voos realizados em relação ao mesmo mês do ano anterior – mercado internacional, 2018</v>
      </c>
      <c r="B41" s="183" t="str">
        <f t="shared" si="5"/>
        <v>Fig 2.30</v>
      </c>
      <c r="C41" s="78" t="str">
        <f t="shared" si="6"/>
        <v>Figura 2.30</v>
      </c>
      <c r="D41" s="183" t="str">
        <f t="shared" si="7"/>
        <v>Variação no número de voos realizados em relação ao mesmo mês do ano anterior – mercado internacional, 2018</v>
      </c>
      <c r="E41" s="78" t="s">
        <v>922</v>
      </c>
      <c r="F41" s="78">
        <v>39</v>
      </c>
      <c r="G41" s="78"/>
    </row>
    <row r="42" spans="1:7" x14ac:dyDescent="0.25">
      <c r="A42" s="166" t="str">
        <f t="shared" si="4"/>
        <v>Figura 2.31: Evolução do número de voos realizados por nacionalidade da empresa – mercado internacional, 2009 a 2018</v>
      </c>
      <c r="B42" s="183" t="str">
        <f t="shared" si="5"/>
        <v>Fig 2.31</v>
      </c>
      <c r="C42" s="78" t="str">
        <f t="shared" si="6"/>
        <v>Figura 2.31</v>
      </c>
      <c r="D42" s="183" t="str">
        <f t="shared" si="7"/>
        <v>Evolução do número de voos realizados por nacionalidade da empresa – mercado internacional, 2009 a 2018</v>
      </c>
      <c r="E42" s="78" t="s">
        <v>923</v>
      </c>
      <c r="F42" s="78">
        <v>39</v>
      </c>
      <c r="G42" s="78"/>
    </row>
    <row r="43" spans="1:7" x14ac:dyDescent="0.25">
      <c r="A43" s="166" t="str">
        <f t="shared" si="4"/>
        <v>Figura 2.32: Proporção de voos realizados por nacionalidade da empresa – mercado internacional, 2009 a 2018</v>
      </c>
      <c r="B43" s="183" t="str">
        <f t="shared" si="5"/>
        <v>Fig 2.32</v>
      </c>
      <c r="C43" s="78" t="str">
        <f t="shared" si="6"/>
        <v>Figura 2.32</v>
      </c>
      <c r="D43" s="183" t="str">
        <f t="shared" si="7"/>
        <v>Proporção de voos realizados por nacionalidade da empresa – mercado internacional, 2009 a 2018</v>
      </c>
      <c r="E43" s="78" t="s">
        <v>924</v>
      </c>
      <c r="F43" s="78">
        <v>40</v>
      </c>
      <c r="G43" s="78"/>
    </row>
    <row r="44" spans="1:7" x14ac:dyDescent="0.25">
      <c r="A44" s="166" t="str">
        <f t="shared" si="4"/>
        <v>Figura 2.33: Variação do número de voos realizados por nacionalidade da empresa – mercado internacional, 2018/2009</v>
      </c>
      <c r="B44" s="183" t="str">
        <f t="shared" si="5"/>
        <v>Fig 2.33</v>
      </c>
      <c r="C44" s="78" t="str">
        <f t="shared" si="6"/>
        <v>Figura 2.33</v>
      </c>
      <c r="D44" s="183" t="str">
        <f t="shared" si="7"/>
        <v>Variação do número de voos realizados por nacionalidade da empresa – mercado internacional, 2018/2009</v>
      </c>
      <c r="E44" s="78" t="s">
        <v>925</v>
      </c>
      <c r="F44" s="78">
        <v>40</v>
      </c>
      <c r="G44" s="78"/>
    </row>
    <row r="45" spans="1:7" x14ac:dyDescent="0.25">
      <c r="A45" s="166" t="str">
        <f t="shared" si="4"/>
        <v>Figura 2.34: Variação do número de voos realizados por nacionalidade da empresa – mercado internacional, 2018/2017</v>
      </c>
      <c r="B45" s="183" t="str">
        <f t="shared" si="5"/>
        <v>Fig 2.34</v>
      </c>
      <c r="C45" s="78" t="str">
        <f t="shared" si="6"/>
        <v>Figura 2.34</v>
      </c>
      <c r="D45" s="183" t="str">
        <f t="shared" si="7"/>
        <v>Variação do número de voos realizados por nacionalidade da empresa – mercado internacional, 2018/2017</v>
      </c>
      <c r="E45" s="78" t="s">
        <v>926</v>
      </c>
      <c r="F45" s="78">
        <v>41</v>
      </c>
      <c r="G45" s="78"/>
    </row>
    <row r="46" spans="1:7" x14ac:dyDescent="0.25">
      <c r="A46" s="166" t="str">
        <f t="shared" si="4"/>
        <v>Figura 2.35: Participação de mercado das maiores empresas em termos de voos realizados – mercado internacional, 2018</v>
      </c>
      <c r="B46" s="183" t="str">
        <f t="shared" si="5"/>
        <v>Fig 2.35</v>
      </c>
      <c r="C46" s="78" t="str">
        <f t="shared" si="6"/>
        <v>Figura 2.35</v>
      </c>
      <c r="D46" s="183" t="str">
        <f t="shared" si="7"/>
        <v>Participação de mercado das maiores empresas em termos de voos realizados – mercado internacional, 2018</v>
      </c>
      <c r="E46" s="78" t="s">
        <v>927</v>
      </c>
      <c r="F46" s="78">
        <v>41</v>
      </c>
      <c r="G46" s="78"/>
    </row>
    <row r="47" spans="1:7" x14ac:dyDescent="0.25">
      <c r="A47" s="166" t="str">
        <f t="shared" si="4"/>
        <v>Figura 2.36: Variação na quantidade de voos realizados pelas maiores empresas – mercado internacional, 2018/2017</v>
      </c>
      <c r="B47" s="183" t="str">
        <f t="shared" si="5"/>
        <v>Fig 2.36</v>
      </c>
      <c r="C47" s="78" t="str">
        <f t="shared" si="6"/>
        <v>Figura 2.36</v>
      </c>
      <c r="D47" s="183" t="str">
        <f t="shared" si="7"/>
        <v>Variação na quantidade de voos realizados pelas maiores empresas – mercado internacional, 2018/2017</v>
      </c>
      <c r="E47" s="78" t="s">
        <v>928</v>
      </c>
      <c r="F47" s="78">
        <v>42</v>
      </c>
      <c r="G47" s="78"/>
    </row>
    <row r="48" spans="1:7" x14ac:dyDescent="0.25">
      <c r="A48" s="166" t="str">
        <f t="shared" si="4"/>
        <v>Figura 2.37: Quantidade de voos entre Brasil e outros países, por continente, 2017 e 2018</v>
      </c>
      <c r="B48" s="183" t="str">
        <f t="shared" si="5"/>
        <v>Fig 2.37</v>
      </c>
      <c r="C48" s="78" t="str">
        <f t="shared" si="6"/>
        <v>Figura 2.37</v>
      </c>
      <c r="D48" s="183" t="str">
        <f t="shared" si="7"/>
        <v>Quantidade de voos entre Brasil e outros países, por continente, 2017 e 2018</v>
      </c>
      <c r="E48" s="78" t="s">
        <v>929</v>
      </c>
      <c r="F48" s="78">
        <v>44</v>
      </c>
      <c r="G48" s="78"/>
    </row>
    <row r="49" spans="1:7" x14ac:dyDescent="0.25">
      <c r="A49" s="166" t="str">
        <f t="shared" si="4"/>
        <v>Figura 2.38: Quantidade de voos realizados entre o Brasil e os 20 principais destinos internacionais, 2017 e 2018</v>
      </c>
      <c r="B49" s="183" t="str">
        <f t="shared" si="5"/>
        <v>Fig 2.38</v>
      </c>
      <c r="C49" s="78" t="str">
        <f t="shared" si="6"/>
        <v>Figura 2.38</v>
      </c>
      <c r="D49" s="183" t="str">
        <f t="shared" si="7"/>
        <v>Quantidade de voos realizados entre o Brasil e os 20 principais destinos internacionais, 2017 e 2018</v>
      </c>
      <c r="E49" s="78" t="s">
        <v>930</v>
      </c>
      <c r="F49" s="78">
        <v>44</v>
      </c>
      <c r="G49" s="78"/>
    </row>
    <row r="50" spans="1:7" x14ac:dyDescent="0.25">
      <c r="A50" s="166" t="str">
        <f t="shared" si="4"/>
        <v>Figura 2.39: Evolução do ASK – mercado internacional, 2009 a 2018</v>
      </c>
      <c r="B50" s="183" t="str">
        <f t="shared" si="5"/>
        <v>Fig 2.39</v>
      </c>
      <c r="C50" s="78" t="str">
        <f t="shared" si="6"/>
        <v>Figura 2.39</v>
      </c>
      <c r="D50" s="183" t="str">
        <f t="shared" si="7"/>
        <v>Evolução do ASK – mercado internacional, 2009 a 2018</v>
      </c>
      <c r="E50" s="78" t="s">
        <v>931</v>
      </c>
      <c r="F50" s="78">
        <v>45</v>
      </c>
      <c r="G50" s="78"/>
    </row>
    <row r="51" spans="1:7" x14ac:dyDescent="0.25">
      <c r="A51" s="166" t="str">
        <f t="shared" si="4"/>
        <v>Figura 2.40: Variação no ASK em relação ao ano anterior – mercado internacional, 2009 a 2018</v>
      </c>
      <c r="B51" s="183" t="str">
        <f t="shared" si="5"/>
        <v>Fig 2.40</v>
      </c>
      <c r="C51" s="78" t="str">
        <f t="shared" si="6"/>
        <v>Figura 2.40</v>
      </c>
      <c r="D51" s="183" t="str">
        <f t="shared" si="7"/>
        <v>Variação no ASK em relação ao ano anterior – mercado internacional, 2009 a 2018</v>
      </c>
      <c r="E51" s="78" t="s">
        <v>932</v>
      </c>
      <c r="F51" s="78">
        <v>45</v>
      </c>
      <c r="G51" s="78"/>
    </row>
    <row r="52" spans="1:7" x14ac:dyDescent="0.25">
      <c r="A52" s="166" t="str">
        <f t="shared" si="4"/>
        <v>Figura 2.41: Evolução do ASK por nacionalidade das empresas – mercado internacional, 2009 a 2018</v>
      </c>
      <c r="B52" s="183" t="str">
        <f t="shared" si="5"/>
        <v>Fig 2.41</v>
      </c>
      <c r="C52" s="78" t="str">
        <f t="shared" si="6"/>
        <v>Figura 2.41</v>
      </c>
      <c r="D52" s="183" t="str">
        <f t="shared" si="7"/>
        <v>Evolução do ASK por nacionalidade das empresas – mercado internacional, 2009 a 2018</v>
      </c>
      <c r="E52" s="78" t="s">
        <v>933</v>
      </c>
      <c r="F52" s="78">
        <v>46</v>
      </c>
      <c r="G52" s="78"/>
    </row>
    <row r="53" spans="1:7" x14ac:dyDescent="0.25">
      <c r="A53" s="166" t="str">
        <f t="shared" si="4"/>
        <v>Figura 2.42: Variação do ASK por nacionalidade da empresa – mercado internacional, 2018/2009</v>
      </c>
      <c r="B53" s="183" t="str">
        <f t="shared" si="5"/>
        <v>Fig 2.42</v>
      </c>
      <c r="C53" s="78" t="str">
        <f t="shared" si="6"/>
        <v>Figura 2.42</v>
      </c>
      <c r="D53" s="183" t="str">
        <f t="shared" si="7"/>
        <v>Variação do ASK por nacionalidade da empresa – mercado internacional, 2018/2009</v>
      </c>
      <c r="E53" s="78" t="s">
        <v>934</v>
      </c>
      <c r="F53" s="78">
        <v>46</v>
      </c>
      <c r="G53" s="78"/>
    </row>
    <row r="54" spans="1:7" x14ac:dyDescent="0.25">
      <c r="A54" s="166" t="str">
        <f t="shared" si="4"/>
        <v>Figura 2.43: Variação do ASK por nacionalidade da empresa – mercado internacional, 2018/2017</v>
      </c>
      <c r="B54" s="183" t="str">
        <f t="shared" si="5"/>
        <v>Fig 2.43</v>
      </c>
      <c r="C54" s="78" t="str">
        <f t="shared" si="6"/>
        <v>Figura 2.43</v>
      </c>
      <c r="D54" s="183" t="str">
        <f t="shared" si="7"/>
        <v>Variação do ASK por nacionalidade da empresa – mercado internacional, 2018/2017</v>
      </c>
      <c r="E54" s="78" t="s">
        <v>935</v>
      </c>
      <c r="F54" s="78">
        <v>47</v>
      </c>
      <c r="G54" s="78"/>
    </row>
    <row r="55" spans="1:7" x14ac:dyDescent="0.25">
      <c r="A55" s="166" t="str">
        <f t="shared" si="4"/>
        <v>Figura 2.44: Participação de mercado das maiores empresas em termos de ASK – mercado internacional, 2018</v>
      </c>
      <c r="B55" s="183" t="str">
        <f t="shared" si="5"/>
        <v>Fig 2.44</v>
      </c>
      <c r="C55" s="78" t="str">
        <f t="shared" si="6"/>
        <v>Figura 2.44</v>
      </c>
      <c r="D55" s="183" t="str">
        <f t="shared" si="7"/>
        <v>Participação de mercado das maiores empresas em termos de ASK – mercado internacional, 2018</v>
      </c>
      <c r="E55" s="78" t="s">
        <v>936</v>
      </c>
      <c r="F55" s="78">
        <v>47</v>
      </c>
      <c r="G55" s="78"/>
    </row>
    <row r="56" spans="1:7" x14ac:dyDescent="0.25">
      <c r="A56" s="166" t="str">
        <f t="shared" si="4"/>
        <v>Figura 2.45: Variação do ASK das maiores empresas – mercado internacional, 2018/2017</v>
      </c>
      <c r="B56" s="183" t="str">
        <f t="shared" si="5"/>
        <v>Fig 2.45</v>
      </c>
      <c r="C56" s="78" t="str">
        <f t="shared" si="6"/>
        <v>Figura 2.45</v>
      </c>
      <c r="D56" s="183" t="str">
        <f t="shared" si="7"/>
        <v>Variação do ASK das maiores empresas – mercado internacional, 2018/2017</v>
      </c>
      <c r="E56" s="78" t="s">
        <v>937</v>
      </c>
      <c r="F56" s="78">
        <v>48</v>
      </c>
      <c r="G56" s="78"/>
    </row>
    <row r="57" spans="1:7" ht="18.75" x14ac:dyDescent="0.3">
      <c r="A57" s="108" t="s">
        <v>1118</v>
      </c>
      <c r="B57" s="183"/>
      <c r="D57" s="183"/>
      <c r="F57" s="78">
        <v>51</v>
      </c>
      <c r="G57" s="78"/>
    </row>
    <row r="58" spans="1:7" x14ac:dyDescent="0.25">
      <c r="A58" s="166" t="str">
        <f t="shared" ref="A58:A89" si="8">E58</f>
        <v>Figura 3.1: Evolução da quantidade de passageiros pagos transportados – mercados doméstico e internacional, 2009 a 2018</v>
      </c>
      <c r="B58" s="183" t="str">
        <f t="shared" ref="B58:B119" si="9">LEFT(A58,3)&amp;" "&amp;MID(A58,8,FIND(":",A58)-8)</f>
        <v>Fig 3.1</v>
      </c>
      <c r="C58" s="78" t="str">
        <f t="shared" ref="C58:C119" si="10">"Figura "&amp;MID(B58,FIND(" ",B58)+1,LEN(B58)-FIND(" ",B58))</f>
        <v>Figura 3.1</v>
      </c>
      <c r="D58" s="183" t="str">
        <f t="shared" ref="D58:D119" si="11">RIGHT(A58,LEN(A58)-FIND(":",A58)-1)</f>
        <v>Evolução da quantidade de passageiros pagos transportados – mercados doméstico e internacional, 2009 a 2018</v>
      </c>
      <c r="E58" s="78" t="s">
        <v>938</v>
      </c>
      <c r="F58" s="78">
        <v>52</v>
      </c>
      <c r="G58" s="78"/>
    </row>
    <row r="59" spans="1:7" x14ac:dyDescent="0.25">
      <c r="A59" s="166" t="str">
        <f t="shared" si="8"/>
        <v>Figura 3.2: Variação da quantidade de passageiros pagos transportados – mercados doméstico e internacional, 2009 a 2018</v>
      </c>
      <c r="B59" s="183" t="str">
        <f t="shared" si="9"/>
        <v>Fig 3.2</v>
      </c>
      <c r="C59" s="78" t="str">
        <f t="shared" si="10"/>
        <v>Figura 3.2</v>
      </c>
      <c r="D59" s="183" t="str">
        <f t="shared" si="11"/>
        <v>Variação da quantidade de passageiros pagos transportados – mercados doméstico e internacional, 2009 a 2018</v>
      </c>
      <c r="E59" s="78" t="s">
        <v>939</v>
      </c>
      <c r="F59" s="78">
        <v>53</v>
      </c>
      <c r="G59" s="78"/>
    </row>
    <row r="60" spans="1:7" x14ac:dyDescent="0.25">
      <c r="A60" s="166" t="str">
        <f t="shared" si="8"/>
        <v>Figura 3.3: Evolução do RPK – mercados doméstico e internacional, 2009 a 2018</v>
      </c>
      <c r="B60" s="183" t="str">
        <f t="shared" si="9"/>
        <v>Fig 3.3</v>
      </c>
      <c r="C60" s="78" t="str">
        <f t="shared" si="10"/>
        <v>Figura 3.3</v>
      </c>
      <c r="D60" s="183" t="str">
        <f t="shared" si="11"/>
        <v>Evolução do RPK – mercados doméstico e internacional, 2009 a 2018</v>
      </c>
      <c r="E60" s="78" t="s">
        <v>940</v>
      </c>
      <c r="F60" s="78">
        <v>54</v>
      </c>
      <c r="G60" s="78"/>
    </row>
    <row r="61" spans="1:7" x14ac:dyDescent="0.25">
      <c r="A61" s="166" t="str">
        <f t="shared" si="8"/>
        <v>Figura 3.4: Variação do RPK – mercados doméstico e internacional, 2009 a 2018</v>
      </c>
      <c r="B61" s="183" t="str">
        <f t="shared" si="9"/>
        <v>Fig 3.4</v>
      </c>
      <c r="C61" s="78" t="str">
        <f t="shared" si="10"/>
        <v>Figura 3.4</v>
      </c>
      <c r="D61" s="183" t="str">
        <f t="shared" si="11"/>
        <v>Variação do RPK – mercados doméstico e internacional, 2009 a 2018</v>
      </c>
      <c r="E61" s="78" t="s">
        <v>941</v>
      </c>
      <c r="F61" s="78">
        <v>55</v>
      </c>
      <c r="G61" s="78"/>
    </row>
    <row r="62" spans="1:7" x14ac:dyDescent="0.25">
      <c r="A62" s="166" t="str">
        <f t="shared" si="8"/>
        <v>Figura 3.5: Evolução da quantidade de carga paga e correio transportados – mercados doméstico e internacional, 2009 a 2018</v>
      </c>
      <c r="B62" s="183" t="str">
        <f t="shared" si="9"/>
        <v>Fig 3.5</v>
      </c>
      <c r="C62" s="78" t="str">
        <f t="shared" si="10"/>
        <v>Figura 3.5</v>
      </c>
      <c r="D62" s="183" t="str">
        <f t="shared" si="11"/>
        <v>Evolução da quantidade de carga paga e correio transportados – mercados doméstico e internacional, 2009 a 2018</v>
      </c>
      <c r="E62" s="78" t="s">
        <v>942</v>
      </c>
      <c r="F62" s="78">
        <v>56</v>
      </c>
      <c r="G62" s="78"/>
    </row>
    <row r="63" spans="1:7" x14ac:dyDescent="0.25">
      <c r="A63" s="166" t="str">
        <f t="shared" si="8"/>
        <v>Figura 3.6: Variação da quantidade de carga paga e correio transportados – mercados doméstico e internacional, 2009 a 2018</v>
      </c>
      <c r="B63" s="183" t="str">
        <f t="shared" si="9"/>
        <v>Fig 3.6</v>
      </c>
      <c r="C63" s="78" t="str">
        <f t="shared" si="10"/>
        <v>Figura 3.6</v>
      </c>
      <c r="D63" s="183" t="str">
        <f t="shared" si="11"/>
        <v>Variação da quantidade de carga paga e correio transportados – mercados doméstico e internacional, 2009 a 2018</v>
      </c>
      <c r="E63" s="78" t="s">
        <v>943</v>
      </c>
      <c r="F63" s="78">
        <v>57</v>
      </c>
      <c r="G63" s="78"/>
    </row>
    <row r="64" spans="1:7" x14ac:dyDescent="0.25">
      <c r="A64" s="166" t="str">
        <f t="shared" si="8"/>
        <v>Figura 3.7: Evolução do número de passageiros pagos transportados – mercado doméstico, 2009 a 2018</v>
      </c>
      <c r="B64" s="183" t="str">
        <f t="shared" si="9"/>
        <v>Fig 3.7</v>
      </c>
      <c r="C64" s="78" t="str">
        <f t="shared" si="10"/>
        <v>Figura 3.7</v>
      </c>
      <c r="D64" s="183" t="str">
        <f t="shared" si="11"/>
        <v>Evolução do número de passageiros pagos transportados – mercado doméstico, 2009 a 2018</v>
      </c>
      <c r="E64" s="78" t="s">
        <v>944</v>
      </c>
      <c r="F64" s="78">
        <v>58</v>
      </c>
      <c r="G64" s="78"/>
    </row>
    <row r="65" spans="1:7" x14ac:dyDescent="0.25">
      <c r="A65" s="166" t="str">
        <f t="shared" si="8"/>
        <v>Figura 3.8: Variação nos passageiros pagos transportados em relação ao ano anterior – mercado doméstico, 2009 a 2018</v>
      </c>
      <c r="B65" s="183" t="str">
        <f t="shared" si="9"/>
        <v>Fig 3.8</v>
      </c>
      <c r="C65" s="78" t="str">
        <f t="shared" si="10"/>
        <v>Figura 3.8</v>
      </c>
      <c r="D65" s="183" t="str">
        <f t="shared" si="11"/>
        <v>Variação nos passageiros pagos transportados em relação ao ano anterior – mercado doméstico, 2009 a 2018</v>
      </c>
      <c r="E65" s="78" t="s">
        <v>945</v>
      </c>
      <c r="F65" s="78">
        <v>59</v>
      </c>
      <c r="G65" s="78"/>
    </row>
    <row r="66" spans="1:7" x14ac:dyDescent="0.25">
      <c r="A66" s="166" t="str">
        <f t="shared" si="8"/>
        <v>Figura 3.9: Variação nos passageiros pagos transportados com relação ao mesmo mês do ano anterior – mercado doméstico, 2018</v>
      </c>
      <c r="B66" s="183" t="str">
        <f t="shared" si="9"/>
        <v>Fig 3.9</v>
      </c>
      <c r="C66" s="78" t="str">
        <f t="shared" si="10"/>
        <v>Figura 3.9</v>
      </c>
      <c r="D66" s="183" t="str">
        <f t="shared" si="11"/>
        <v>Variação nos passageiros pagos transportados com relação ao mesmo mês do ano anterior – mercado doméstico, 2018</v>
      </c>
      <c r="E66" s="78" t="s">
        <v>946</v>
      </c>
      <c r="F66" s="78">
        <v>60</v>
      </c>
      <c r="G66" s="78"/>
    </row>
    <row r="67" spans="1:7" x14ac:dyDescent="0.25">
      <c r="A67" s="166" t="str">
        <f t="shared" si="8"/>
        <v>Figura 3.10: Participação das quatro maiores empresas em passageiros pagos transportados – mercado doméstico, 2018</v>
      </c>
      <c r="B67" s="183" t="str">
        <f t="shared" si="9"/>
        <v>Fig 3.10</v>
      </c>
      <c r="C67" s="78" t="str">
        <f t="shared" si="10"/>
        <v>Figura 3.10</v>
      </c>
      <c r="D67" s="183" t="str">
        <f t="shared" si="11"/>
        <v>Participação das quatro maiores empresas em passageiros pagos transportados – mercado doméstico, 2018</v>
      </c>
      <c r="E67" s="78" t="s">
        <v>947</v>
      </c>
      <c r="F67" s="78">
        <v>60</v>
      </c>
      <c r="G67" s="78"/>
    </row>
    <row r="68" spans="1:7" x14ac:dyDescent="0.25">
      <c r="A68" s="166" t="str">
        <f t="shared" si="8"/>
        <v>Figura 3.11: Variação de passageiros pagos transportados com relação ao ano anterior por empresa – mercado doméstico, 2018</v>
      </c>
      <c r="B68" s="183" t="str">
        <f t="shared" si="9"/>
        <v>Fig 3.11</v>
      </c>
      <c r="C68" s="78" t="str">
        <f t="shared" si="10"/>
        <v>Figura 3.11</v>
      </c>
      <c r="D68" s="183" t="str">
        <f t="shared" si="11"/>
        <v>Variação de passageiros pagos transportados com relação ao ano anterior por empresa – mercado doméstico, 2018</v>
      </c>
      <c r="E68" s="78" t="s">
        <v>948</v>
      </c>
      <c r="F68" s="78">
        <v>61</v>
      </c>
      <c r="G68" s="78"/>
    </row>
    <row r="69" spans="1:7" x14ac:dyDescent="0.25">
      <c r="A69" s="166" t="str">
        <f t="shared" si="8"/>
        <v>Figura 3.12: Variação no número de passageiros pagos transportados (milhões de passageiros) – mercado doméstico, 2018</v>
      </c>
      <c r="B69" s="183" t="str">
        <f t="shared" si="9"/>
        <v>Fig 3.12</v>
      </c>
      <c r="C69" s="78" t="str">
        <f t="shared" si="10"/>
        <v>Figura 3.12</v>
      </c>
      <c r="D69" s="183" t="str">
        <f t="shared" si="11"/>
        <v>Variação no número de passageiros pagos transportados (milhões de passageiros) – mercado doméstico, 2018</v>
      </c>
      <c r="E69" s="78" t="s">
        <v>949</v>
      </c>
      <c r="F69" s="78">
        <v>61</v>
      </c>
      <c r="G69" s="78"/>
    </row>
    <row r="70" spans="1:7" x14ac:dyDescent="0.25">
      <c r="A70" s="166" t="str">
        <f t="shared" si="8"/>
        <v>Figura 3.13: Passageiros pagos embarcados por região brasileira, em milhões – mercado doméstico, 2018</v>
      </c>
      <c r="B70" s="183" t="str">
        <f t="shared" si="9"/>
        <v>Fig 3.13</v>
      </c>
      <c r="C70" s="78" t="str">
        <f t="shared" si="10"/>
        <v>Figura 3.13</v>
      </c>
      <c r="D70" s="183" t="str">
        <f t="shared" si="11"/>
        <v>Passageiros pagos embarcados por região brasileira, em milhões – mercado doméstico, 2018</v>
      </c>
      <c r="E70" s="78" t="s">
        <v>950</v>
      </c>
      <c r="F70" s="78">
        <v>62</v>
      </c>
      <c r="G70" s="78"/>
    </row>
    <row r="71" spans="1:7" x14ac:dyDescent="0.25">
      <c r="A71" s="166" t="str">
        <f t="shared" si="8"/>
        <v>Figura 3.14: Distribuição dos passageiros embarcados por região – mercado doméstico, 2018</v>
      </c>
      <c r="B71" s="183" t="str">
        <f t="shared" si="9"/>
        <v>Fig 3.14</v>
      </c>
      <c r="C71" s="78" t="str">
        <f t="shared" si="10"/>
        <v>Figura 3.14</v>
      </c>
      <c r="D71" s="183" t="str">
        <f t="shared" si="11"/>
        <v>Distribuição dos passageiros embarcados por região – mercado doméstico, 2018</v>
      </c>
      <c r="E71" s="78" t="s">
        <v>951</v>
      </c>
      <c r="F71" s="78">
        <v>62</v>
      </c>
      <c r="G71" s="78"/>
    </row>
    <row r="72" spans="1:7" x14ac:dyDescent="0.25">
      <c r="A72" s="166" t="str">
        <f t="shared" si="8"/>
        <v>Figura 3.15: Passageiros embarcados por aeroporto e unidade da federação – região Sudeste – mercado doméstico, 2018</v>
      </c>
      <c r="B72" s="183" t="str">
        <f t="shared" si="9"/>
        <v>Fig 3.15</v>
      </c>
      <c r="C72" s="78" t="str">
        <f t="shared" si="10"/>
        <v>Figura 3.15</v>
      </c>
      <c r="D72" s="183" t="str">
        <f t="shared" si="11"/>
        <v>Passageiros embarcados por aeroporto e unidade da federação – região Sudeste – mercado doméstico, 2018</v>
      </c>
      <c r="E72" s="78" t="s">
        <v>952</v>
      </c>
      <c r="F72" s="78">
        <v>63</v>
      </c>
      <c r="G72" s="78"/>
    </row>
    <row r="73" spans="1:7" x14ac:dyDescent="0.25">
      <c r="A73" s="166" t="str">
        <f t="shared" si="8"/>
        <v>Figura 3.16: Passageiros embarcados por aeroporto e unidade da federação – região Nordeste – mercado doméstico, 2018</v>
      </c>
      <c r="B73" s="183" t="str">
        <f t="shared" si="9"/>
        <v>Fig 3.16</v>
      </c>
      <c r="C73" s="78" t="str">
        <f t="shared" si="10"/>
        <v>Figura 3.16</v>
      </c>
      <c r="D73" s="183" t="str">
        <f t="shared" si="11"/>
        <v>Passageiros embarcados por aeroporto e unidade da federação – região Nordeste – mercado doméstico, 2018</v>
      </c>
      <c r="E73" s="78" t="s">
        <v>953</v>
      </c>
      <c r="F73" s="78">
        <v>63</v>
      </c>
      <c r="G73" s="78"/>
    </row>
    <row r="74" spans="1:7" x14ac:dyDescent="0.25">
      <c r="A74" s="166" t="str">
        <f t="shared" si="8"/>
        <v>Figura 3.17: Passageiros embarcados por aeroporto e unidade da federação – região Centro-Oeste – mercado doméstico, 2018</v>
      </c>
      <c r="B74" s="183" t="str">
        <f t="shared" si="9"/>
        <v>Fig 3.17</v>
      </c>
      <c r="C74" s="78" t="str">
        <f t="shared" si="10"/>
        <v>Figura 3.17</v>
      </c>
      <c r="D74" s="183" t="str">
        <f t="shared" si="11"/>
        <v>Passageiros embarcados por aeroporto e unidade da federação – região Centro-Oeste – mercado doméstico, 2018</v>
      </c>
      <c r="E74" s="78" t="s">
        <v>954</v>
      </c>
      <c r="F74" s="78">
        <v>64</v>
      </c>
      <c r="G74" s="78"/>
    </row>
    <row r="75" spans="1:7" x14ac:dyDescent="0.25">
      <c r="A75" s="166" t="str">
        <f t="shared" si="8"/>
        <v>Figura 3.18: Passageiros embarcados por aeroporto e unidade da federação – Região Sul – mercado doméstico, 2018</v>
      </c>
      <c r="B75" s="183" t="str">
        <f t="shared" si="9"/>
        <v>Fig 3.18</v>
      </c>
      <c r="C75" s="78" t="str">
        <f t="shared" si="10"/>
        <v>Figura 3.18</v>
      </c>
      <c r="D75" s="183" t="str">
        <f t="shared" si="11"/>
        <v>Passageiros embarcados por aeroporto e unidade da federação – Região Sul – mercado doméstico, 2018</v>
      </c>
      <c r="E75" s="78" t="s">
        <v>955</v>
      </c>
      <c r="F75" s="78">
        <v>65</v>
      </c>
      <c r="G75" s="78"/>
    </row>
    <row r="76" spans="1:7" x14ac:dyDescent="0.25">
      <c r="A76" s="166" t="str">
        <f t="shared" si="8"/>
        <v>Figura 3.19: Passageiros embarcados por aeroporto e unidade da federação – região Norte – mercado doméstico, 2018</v>
      </c>
      <c r="B76" s="183" t="str">
        <f t="shared" si="9"/>
        <v>Fig 3.19</v>
      </c>
      <c r="C76" s="78" t="str">
        <f t="shared" si="10"/>
        <v>Figura 3.19</v>
      </c>
      <c r="D76" s="183" t="str">
        <f t="shared" si="11"/>
        <v>Passageiros embarcados por aeroporto e unidade da federação – região Norte – mercado doméstico, 2018</v>
      </c>
      <c r="E76" s="78" t="s">
        <v>956</v>
      </c>
      <c r="F76" s="78">
        <v>66</v>
      </c>
      <c r="G76" s="78"/>
    </row>
    <row r="77" spans="1:7" x14ac:dyDescent="0.25">
      <c r="A77" s="166" t="str">
        <f t="shared" si="8"/>
        <v>Figura 3.20: Distribuição dos embarques nos 20 maiores aeroportos – mercado doméstico, 2018</v>
      </c>
      <c r="B77" s="183" t="str">
        <f t="shared" si="9"/>
        <v>Fig 3.20</v>
      </c>
      <c r="C77" s="78" t="str">
        <f t="shared" si="10"/>
        <v>Figura 3.20</v>
      </c>
      <c r="D77" s="183" t="str">
        <f t="shared" si="11"/>
        <v>Distribuição dos embarques nos 20 maiores aeroportos – mercado doméstico, 2018</v>
      </c>
      <c r="E77" s="78" t="s">
        <v>957</v>
      </c>
      <c r="F77" s="78">
        <v>67</v>
      </c>
      <c r="G77" s="78"/>
    </row>
    <row r="78" spans="1:7" x14ac:dyDescent="0.25">
      <c r="A78" s="166" t="str">
        <f t="shared" si="8"/>
        <v>Figura 3.21: Variação no número de embarques em relação ao ano anterior por aeroporto – mercado doméstico, 2018</v>
      </c>
      <c r="B78" s="183" t="str">
        <f t="shared" si="9"/>
        <v>Fig 3.21</v>
      </c>
      <c r="C78" s="78" t="str">
        <f t="shared" si="10"/>
        <v>Figura 3.21</v>
      </c>
      <c r="D78" s="183" t="str">
        <f t="shared" si="11"/>
        <v>Variação no número de embarques em relação ao ano anterior por aeroporto – mercado doméstico, 2018</v>
      </c>
      <c r="E78" s="78" t="s">
        <v>958</v>
      </c>
      <c r="F78" s="78">
        <v>67</v>
      </c>
      <c r="G78" s="78"/>
    </row>
    <row r="79" spans="1:7" x14ac:dyDescent="0.25">
      <c r="A79" s="166" t="str">
        <f t="shared" si="8"/>
        <v>Figura 3.22: Passageiros pagos transportados nas 20 principais rotas* – mercado doméstico, 2017 e 2018</v>
      </c>
      <c r="B79" s="183" t="str">
        <f t="shared" si="9"/>
        <v>Fig 3.22</v>
      </c>
      <c r="C79" s="78" t="str">
        <f t="shared" si="10"/>
        <v>Figura 3.22</v>
      </c>
      <c r="D79" s="183" t="str">
        <f t="shared" si="11"/>
        <v>Passageiros pagos transportados nas 20 principais rotas* – mercado doméstico, 2017 e 2018</v>
      </c>
      <c r="E79" s="78" t="s">
        <v>959</v>
      </c>
      <c r="F79" s="78">
        <v>68</v>
      </c>
      <c r="G79" s="78"/>
    </row>
    <row r="80" spans="1:7" x14ac:dyDescent="0.25">
      <c r="A80" s="166" t="str">
        <f t="shared" si="8"/>
        <v>Figura 3.23: Evolução do RPK – mercado doméstico, 2009 a 2018</v>
      </c>
      <c r="B80" s="183" t="str">
        <f t="shared" si="9"/>
        <v>Fig 3.23</v>
      </c>
      <c r="C80" s="78" t="str">
        <f t="shared" si="10"/>
        <v>Figura 3.23</v>
      </c>
      <c r="D80" s="183" t="str">
        <f t="shared" si="11"/>
        <v>Evolução do RPK – mercado doméstico, 2009 a 2018</v>
      </c>
      <c r="E80" s="78" t="s">
        <v>960</v>
      </c>
      <c r="F80" s="78">
        <v>68</v>
      </c>
      <c r="G80" s="78"/>
    </row>
    <row r="81" spans="1:7" x14ac:dyDescent="0.25">
      <c r="A81" s="166" t="str">
        <f t="shared" si="8"/>
        <v>Figura 3.24: Variação do RPK em relação ao ano anterior – mercado doméstico, 2009 a 2018</v>
      </c>
      <c r="B81" s="183" t="str">
        <f t="shared" si="9"/>
        <v>Fig 3.24</v>
      </c>
      <c r="C81" s="78" t="str">
        <f t="shared" si="10"/>
        <v>Figura 3.24</v>
      </c>
      <c r="D81" s="183" t="str">
        <f t="shared" si="11"/>
        <v>Variação do RPK em relação ao ano anterior – mercado doméstico, 2009 a 2018</v>
      </c>
      <c r="E81" s="78" t="s">
        <v>961</v>
      </c>
      <c r="F81" s="78">
        <v>69</v>
      </c>
      <c r="G81" s="78"/>
    </row>
    <row r="82" spans="1:7" x14ac:dyDescent="0.25">
      <c r="A82" s="166" t="str">
        <f t="shared" si="8"/>
        <v>Figura 3.25: Variação do RPK em relação ao mesmo mês do ano anterior – mercado doméstico, 2018</v>
      </c>
      <c r="B82" s="183" t="str">
        <f t="shared" si="9"/>
        <v>Fig 3.25</v>
      </c>
      <c r="C82" s="78" t="str">
        <f t="shared" si="10"/>
        <v>Figura 3.25</v>
      </c>
      <c r="D82" s="183" t="str">
        <f t="shared" si="11"/>
        <v>Variação do RPK em relação ao mesmo mês do ano anterior – mercado doméstico, 2018</v>
      </c>
      <c r="E82" s="78" t="s">
        <v>962</v>
      </c>
      <c r="F82" s="78">
        <v>69</v>
      </c>
      <c r="G82" s="78"/>
    </row>
    <row r="83" spans="1:7" x14ac:dyDescent="0.25">
      <c r="A83" s="166" t="str">
        <f t="shared" si="8"/>
        <v>Figura 3.26: Participação das cinco maiores empresas no RPK – mercado doméstico, 2010 a 2018</v>
      </c>
      <c r="B83" s="183" t="str">
        <f t="shared" si="9"/>
        <v>Fig 3.26</v>
      </c>
      <c r="C83" s="78" t="str">
        <f t="shared" si="10"/>
        <v>Figura 3.26</v>
      </c>
      <c r="D83" s="183" t="str">
        <f t="shared" si="11"/>
        <v>Participação das cinco maiores empresas no RPK – mercado doméstico, 2010 a 2018</v>
      </c>
      <c r="E83" s="78" t="s">
        <v>963</v>
      </c>
      <c r="F83" s="78">
        <v>70</v>
      </c>
      <c r="G83" s="78"/>
    </row>
    <row r="84" spans="1:7" x14ac:dyDescent="0.25">
      <c r="A84" s="166" t="str">
        <f t="shared" si="8"/>
        <v>Figura 3.27: Variação no RPK com relação ao ano anterior por empresa – mercado doméstico, 2018</v>
      </c>
      <c r="B84" s="183" t="str">
        <f t="shared" si="9"/>
        <v>Fig 3.27</v>
      </c>
      <c r="C84" s="78" t="str">
        <f t="shared" si="10"/>
        <v>Figura 3.27</v>
      </c>
      <c r="D84" s="183" t="str">
        <f t="shared" si="11"/>
        <v>Variação no RPK com relação ao ano anterior por empresa – mercado doméstico, 2018</v>
      </c>
      <c r="E84" s="78" t="s">
        <v>964</v>
      </c>
      <c r="F84" s="78">
        <v>70</v>
      </c>
      <c r="G84" s="78"/>
    </row>
    <row r="85" spans="1:7" x14ac:dyDescent="0.25">
      <c r="A85" s="166" t="str">
        <f t="shared" si="8"/>
        <v>Figura 3.28: Evolução da quantidade de carga paga e correio transportados – mercado doméstico, 2009 a 2018</v>
      </c>
      <c r="B85" s="183" t="str">
        <f t="shared" si="9"/>
        <v>Fig 3.28</v>
      </c>
      <c r="C85" s="78" t="str">
        <f t="shared" si="10"/>
        <v>Figura 3.28</v>
      </c>
      <c r="D85" s="183" t="str">
        <f t="shared" si="11"/>
        <v>Evolução da quantidade de carga paga e correio transportados – mercado doméstico, 2009 a 2018</v>
      </c>
      <c r="E85" s="78" t="s">
        <v>965</v>
      </c>
      <c r="F85" s="78">
        <v>71</v>
      </c>
      <c r="G85" s="78"/>
    </row>
    <row r="86" spans="1:7" x14ac:dyDescent="0.25">
      <c r="A86" s="166" t="str">
        <f t="shared" si="8"/>
        <v>Figura 3.29: Variação anual da quantidade de carga paga e correio transportados – mercado doméstico, 2009 a 2018</v>
      </c>
      <c r="B86" s="183" t="str">
        <f t="shared" si="9"/>
        <v>Fig 3.29</v>
      </c>
      <c r="C86" s="78" t="str">
        <f t="shared" si="10"/>
        <v>Figura 3.29</v>
      </c>
      <c r="D86" s="183" t="str">
        <f t="shared" si="11"/>
        <v>Variação anual da quantidade de carga paga e correio transportados – mercado doméstico, 2009 a 2018</v>
      </c>
      <c r="E86" s="78" t="s">
        <v>966</v>
      </c>
      <c r="F86" s="78">
        <v>72</v>
      </c>
      <c r="G86" s="78"/>
    </row>
    <row r="87" spans="1:7" x14ac:dyDescent="0.25">
      <c r="A87" s="166" t="str">
        <f t="shared" si="8"/>
        <v>Figura 3.30: Participação das principais empresas em termos de carga paga e correio transportados – mercado doméstico, 2018</v>
      </c>
      <c r="B87" s="183" t="str">
        <f t="shared" si="9"/>
        <v>Fig 3.30</v>
      </c>
      <c r="C87" s="78" t="str">
        <f t="shared" si="10"/>
        <v>Figura 3.30</v>
      </c>
      <c r="D87" s="183" t="str">
        <f t="shared" si="11"/>
        <v>Participação das principais empresas em termos de carga paga e correio transportados – mercado doméstico, 2018</v>
      </c>
      <c r="E87" s="78" t="s">
        <v>967</v>
      </c>
      <c r="F87" s="78">
        <v>73</v>
      </c>
      <c r="G87" s="78"/>
    </row>
    <row r="88" spans="1:7" x14ac:dyDescent="0.25">
      <c r="A88" s="166" t="str">
        <f t="shared" si="8"/>
        <v>Figura 3.31: Variação da carga paga e correio transportados com relação ao ano anterior por empresa – mercado doméstico, 2018</v>
      </c>
      <c r="B88" s="183" t="str">
        <f t="shared" si="9"/>
        <v>Fig 3.31</v>
      </c>
      <c r="C88" s="78" t="str">
        <f t="shared" si="10"/>
        <v>Figura 3.31</v>
      </c>
      <c r="D88" s="183" t="str">
        <f t="shared" si="11"/>
        <v>Variação da carga paga e correio transportados com relação ao ano anterior por empresa – mercado doméstico, 2018</v>
      </c>
      <c r="E88" s="78" t="s">
        <v>968</v>
      </c>
      <c r="F88" s="78">
        <v>73</v>
      </c>
      <c r="G88" s="78"/>
    </row>
    <row r="89" spans="1:7" x14ac:dyDescent="0.25">
      <c r="A89" s="166" t="str">
        <f t="shared" si="8"/>
        <v>Figura 3.32: Carga paga e correio transportados nas 20 principais rotas – mercado doméstico, 2017 e 2018</v>
      </c>
      <c r="B89" s="183" t="str">
        <f t="shared" si="9"/>
        <v>Fig 3.32</v>
      </c>
      <c r="C89" s="78" t="str">
        <f t="shared" si="10"/>
        <v>Figura 3.32</v>
      </c>
      <c r="D89" s="183" t="str">
        <f t="shared" si="11"/>
        <v>Carga paga e correio transportados nas 20 principais rotas – mercado doméstico, 2017 e 2018</v>
      </c>
      <c r="E89" s="78" t="s">
        <v>969</v>
      </c>
      <c r="F89" s="78">
        <v>74</v>
      </c>
      <c r="G89" s="78"/>
    </row>
    <row r="90" spans="1:7" x14ac:dyDescent="0.25">
      <c r="A90" s="166" t="str">
        <f t="shared" ref="A90:A119" si="12">E90</f>
        <v>Figura 3.33: Carga e correio despachados por unidade da federação – mercado doméstico, 2018</v>
      </c>
      <c r="B90" s="183" t="str">
        <f t="shared" si="9"/>
        <v>Fig 3.33</v>
      </c>
      <c r="C90" s="78" t="str">
        <f t="shared" si="10"/>
        <v>Figura 3.33</v>
      </c>
      <c r="D90" s="183" t="str">
        <f t="shared" si="11"/>
        <v>Carga e correio despachados por unidade da federação – mercado doméstico, 2018</v>
      </c>
      <c r="E90" s="78" t="s">
        <v>970</v>
      </c>
      <c r="F90" s="78">
        <v>74</v>
      </c>
      <c r="G90" s="78"/>
    </row>
    <row r="91" spans="1:7" x14ac:dyDescent="0.25">
      <c r="A91" s="166" t="str">
        <f t="shared" si="12"/>
        <v>Figura 3.34: Evolução do número de passageiros pagos transportados – mercado internacional, 2009 a 2018</v>
      </c>
      <c r="B91" s="183" t="str">
        <f t="shared" si="9"/>
        <v>Fig 3.34</v>
      </c>
      <c r="C91" s="78" t="str">
        <f t="shared" si="10"/>
        <v>Figura 3.34</v>
      </c>
      <c r="D91" s="183" t="str">
        <f t="shared" si="11"/>
        <v>Evolução do número de passageiros pagos transportados – mercado internacional, 2009 a 2018</v>
      </c>
      <c r="E91" s="78" t="s">
        <v>971</v>
      </c>
      <c r="F91" s="78">
        <v>74</v>
      </c>
      <c r="G91" s="78"/>
    </row>
    <row r="92" spans="1:7" x14ac:dyDescent="0.25">
      <c r="A92" s="166" t="str">
        <f t="shared" si="12"/>
        <v>Figura 3.35: Variação no número de passageiros pagos transportados em relação ao ano anterior – mercado internacional, 2009 a 2018</v>
      </c>
      <c r="B92" s="183" t="str">
        <f t="shared" si="9"/>
        <v>Fig 3.35</v>
      </c>
      <c r="C92" s="78" t="str">
        <f t="shared" si="10"/>
        <v>Figura 3.35</v>
      </c>
      <c r="D92" s="183" t="str">
        <f t="shared" si="11"/>
        <v>Variação no número de passageiros pagos transportados em relação ao ano anterior – mercado internacional, 2009 a 2018</v>
      </c>
      <c r="E92" s="78" t="s">
        <v>972</v>
      </c>
      <c r="F92" s="78">
        <v>75</v>
      </c>
      <c r="G92" s="78"/>
    </row>
    <row r="93" spans="1:7" x14ac:dyDescent="0.25">
      <c r="A93" s="166" t="str">
        <f t="shared" si="12"/>
        <v>Figura 3.36: Variação nos passageiros pagos transportados com relação ao mesmo mês do ano anterior – mercado internacional, 2018</v>
      </c>
      <c r="B93" s="183" t="str">
        <f t="shared" si="9"/>
        <v>Fig 3.36</v>
      </c>
      <c r="C93" s="78" t="str">
        <f t="shared" si="10"/>
        <v>Figura 3.36</v>
      </c>
      <c r="D93" s="183" t="str">
        <f t="shared" si="11"/>
        <v>Variação nos passageiros pagos transportados com relação ao mesmo mês do ano anterior – mercado internacional, 2018</v>
      </c>
      <c r="E93" s="78" t="s">
        <v>973</v>
      </c>
      <c r="F93" s="78">
        <v>75</v>
      </c>
      <c r="G93" s="78"/>
    </row>
    <row r="94" spans="1:7" x14ac:dyDescent="0.25">
      <c r="A94" s="166" t="str">
        <f t="shared" si="12"/>
        <v>Figura 3.37: Evolução do número de passageiros pagos transportados por nacionalidade da empresa – mercado internacional, 2009 a 2018</v>
      </c>
      <c r="B94" s="183" t="str">
        <f t="shared" si="9"/>
        <v>Fig 3.37</v>
      </c>
      <c r="C94" s="78" t="str">
        <f t="shared" si="10"/>
        <v>Figura 3.37</v>
      </c>
      <c r="D94" s="183" t="str">
        <f t="shared" si="11"/>
        <v>Evolução do número de passageiros pagos transportados por nacionalidade da empresa – mercado internacional, 2009 a 2018</v>
      </c>
      <c r="E94" s="78" t="s">
        <v>974</v>
      </c>
      <c r="F94" s="78">
        <v>76</v>
      </c>
      <c r="G94" s="78"/>
    </row>
    <row r="95" spans="1:7" x14ac:dyDescent="0.25">
      <c r="A95" s="166" t="str">
        <f t="shared" si="12"/>
        <v>Figura 3.38: Variação do número de passageiros pagos transportados por nacionalidade da empresa – mercado internacional, 2018/2009</v>
      </c>
      <c r="B95" s="183" t="str">
        <f t="shared" si="9"/>
        <v>Fig 3.38</v>
      </c>
      <c r="C95" s="78" t="str">
        <f t="shared" si="10"/>
        <v>Figura 3.38</v>
      </c>
      <c r="D95" s="183" t="str">
        <f t="shared" si="11"/>
        <v>Variação do número de passageiros pagos transportados por nacionalidade da empresa – mercado internacional, 2018/2009</v>
      </c>
      <c r="E95" s="78" t="s">
        <v>975</v>
      </c>
      <c r="F95" s="78">
        <v>76</v>
      </c>
      <c r="G95" s="78"/>
    </row>
    <row r="96" spans="1:7" x14ac:dyDescent="0.25">
      <c r="A96" s="166" t="str">
        <f t="shared" si="12"/>
        <v>Figura 3.39: Variação do número de passageiros pagos transportados por nacionalidade da empresa – mercado internacional, 2018/2017</v>
      </c>
      <c r="B96" s="183" t="str">
        <f t="shared" si="9"/>
        <v>Fig 3.39</v>
      </c>
      <c r="C96" s="78" t="str">
        <f t="shared" si="10"/>
        <v>Figura 3.39</v>
      </c>
      <c r="D96" s="183" t="str">
        <f t="shared" si="11"/>
        <v>Variação do número de passageiros pagos transportados por nacionalidade da empresa – mercado internacional, 2018/2017</v>
      </c>
      <c r="E96" s="78" t="s">
        <v>976</v>
      </c>
      <c r="F96" s="78">
        <v>77</v>
      </c>
      <c r="G96" s="78"/>
    </row>
    <row r="97" spans="1:7" x14ac:dyDescent="0.25">
      <c r="A97" s="166" t="str">
        <f t="shared" si="12"/>
        <v>Figura 3.40: Participação de mercado das maiores empresas em termos de passageiros pagos transportados – mercado internacional, 2018</v>
      </c>
      <c r="B97" s="183" t="str">
        <f t="shared" si="9"/>
        <v>Fig 3.40</v>
      </c>
      <c r="C97" s="78" t="str">
        <f t="shared" si="10"/>
        <v>Figura 3.40</v>
      </c>
      <c r="D97" s="183" t="str">
        <f t="shared" si="11"/>
        <v>Participação de mercado das maiores empresas em termos de passageiros pagos transportados – mercado internacional, 2018</v>
      </c>
      <c r="E97" s="78" t="s">
        <v>977</v>
      </c>
      <c r="F97" s="78">
        <v>77</v>
      </c>
      <c r="G97" s="78"/>
    </row>
    <row r="98" spans="1:7" x14ac:dyDescent="0.25">
      <c r="A98" s="166" t="str">
        <f t="shared" si="12"/>
        <v>Figura 3.41: Variação na quantidade de passageiros pagos transportados pelas maiores empresas – mercado internacional, 2018/2017</v>
      </c>
      <c r="B98" s="183" t="str">
        <f t="shared" si="9"/>
        <v>Fig 3.41</v>
      </c>
      <c r="C98" s="78" t="str">
        <f t="shared" si="10"/>
        <v>Figura 3.41</v>
      </c>
      <c r="D98" s="183" t="str">
        <f t="shared" si="11"/>
        <v>Variação na quantidade de passageiros pagos transportados pelas maiores empresas – mercado internacional, 2018/2017</v>
      </c>
      <c r="E98" s="78" t="s">
        <v>978</v>
      </c>
      <c r="F98" s="78">
        <v>78</v>
      </c>
      <c r="G98" s="78"/>
    </row>
    <row r="99" spans="1:7" x14ac:dyDescent="0.25">
      <c r="A99" s="166" t="str">
        <f t="shared" si="12"/>
        <v>Figura 3.42: Quantidade de passageiros transportados entre o Brasil e outros países por continente, 2017 e 2018</v>
      </c>
      <c r="B99" s="183" t="str">
        <f t="shared" si="9"/>
        <v>Fig 3.42</v>
      </c>
      <c r="C99" s="78" t="str">
        <f t="shared" si="10"/>
        <v>Figura 3.42</v>
      </c>
      <c r="D99" s="183" t="str">
        <f t="shared" si="11"/>
        <v>Quantidade de passageiros transportados entre o Brasil e outros países por continente, 2017 e 2018</v>
      </c>
      <c r="E99" s="78" t="s">
        <v>979</v>
      </c>
      <c r="F99" s="78">
        <v>78</v>
      </c>
      <c r="G99" s="78"/>
    </row>
    <row r="100" spans="1:7" x14ac:dyDescent="0.25">
      <c r="A100" s="166" t="str">
        <f t="shared" si="12"/>
        <v>Figura 3.43: Quantidade de passageiros transportados entre o Brasil e os 20 principais destinos internacionais, 2017 e 2018</v>
      </c>
      <c r="B100" s="183" t="str">
        <f t="shared" si="9"/>
        <v>Fig 3.43</v>
      </c>
      <c r="C100" s="78" t="str">
        <f t="shared" si="10"/>
        <v>Figura 3.43</v>
      </c>
      <c r="D100" s="183" t="str">
        <f t="shared" si="11"/>
        <v>Quantidade de passageiros transportados entre o Brasil e os 20 principais destinos internacionais, 2017 e 2018</v>
      </c>
      <c r="E100" s="78" t="s">
        <v>980</v>
      </c>
      <c r="F100" s="78">
        <v>79</v>
      </c>
      <c r="G100" s="78"/>
    </row>
    <row r="101" spans="1:7" x14ac:dyDescent="0.25">
      <c r="A101" s="166" t="str">
        <f t="shared" si="12"/>
        <v>Figura 3.44: Evolução do RPK – mercado internacional, 2009 a 2018</v>
      </c>
      <c r="B101" s="183" t="str">
        <f t="shared" si="9"/>
        <v>Fig 3.44</v>
      </c>
      <c r="C101" s="78" t="str">
        <f t="shared" si="10"/>
        <v>Figura 3.44</v>
      </c>
      <c r="D101" s="183" t="str">
        <f t="shared" si="11"/>
        <v>Evolução do RPK – mercado internacional, 2009 a 2018</v>
      </c>
      <c r="E101" s="78" t="s">
        <v>981</v>
      </c>
      <c r="F101" s="78">
        <v>80</v>
      </c>
      <c r="G101" s="78"/>
    </row>
    <row r="102" spans="1:7" x14ac:dyDescent="0.25">
      <c r="A102" s="166" t="str">
        <f t="shared" si="12"/>
        <v>Figura 3.45: Variação no RPK em relação ao ano anterior – mercado internacional, 2009 a 2018</v>
      </c>
      <c r="B102" s="183" t="str">
        <f t="shared" si="9"/>
        <v>Fig 3.45</v>
      </c>
      <c r="C102" s="78" t="str">
        <f t="shared" si="10"/>
        <v>Figura 3.45</v>
      </c>
      <c r="D102" s="183" t="str">
        <f t="shared" si="11"/>
        <v>Variação no RPK em relação ao ano anterior – mercado internacional, 2009 a 2018</v>
      </c>
      <c r="E102" s="78" t="s">
        <v>982</v>
      </c>
      <c r="F102" s="78">
        <v>81</v>
      </c>
      <c r="G102" s="78"/>
    </row>
    <row r="103" spans="1:7" x14ac:dyDescent="0.25">
      <c r="A103" s="166" t="str">
        <f t="shared" si="12"/>
        <v>Figura 3.46: Evolução do RPK por nacionalidade das empresas – mercado internacional – 2009 a 2018</v>
      </c>
      <c r="B103" s="183" t="str">
        <f t="shared" si="9"/>
        <v>Fig 3.46</v>
      </c>
      <c r="C103" s="78" t="str">
        <f t="shared" si="10"/>
        <v>Figura 3.46</v>
      </c>
      <c r="D103" s="183" t="str">
        <f t="shared" si="11"/>
        <v>Evolução do RPK por nacionalidade das empresas – mercado internacional – 2009 a 2018</v>
      </c>
      <c r="E103" s="78" t="s">
        <v>983</v>
      </c>
      <c r="F103" s="78">
        <v>82</v>
      </c>
      <c r="G103" s="78"/>
    </row>
    <row r="104" spans="1:7" x14ac:dyDescent="0.25">
      <c r="A104" s="166" t="str">
        <f t="shared" si="12"/>
        <v>Figura 3.47: Variação do RPK por nacionalidade da empresa – mercado internacional, 2018/2009</v>
      </c>
      <c r="B104" s="183" t="str">
        <f t="shared" si="9"/>
        <v>Fig 3.47</v>
      </c>
      <c r="C104" s="78" t="str">
        <f t="shared" si="10"/>
        <v>Figura 3.47</v>
      </c>
      <c r="D104" s="183" t="str">
        <f t="shared" si="11"/>
        <v>Variação do RPK por nacionalidade da empresa – mercado internacional, 2018/2009</v>
      </c>
      <c r="E104" s="78" t="s">
        <v>984</v>
      </c>
      <c r="F104" s="78">
        <v>83</v>
      </c>
      <c r="G104" s="78"/>
    </row>
    <row r="105" spans="1:7" x14ac:dyDescent="0.25">
      <c r="A105" s="166" t="str">
        <f t="shared" si="12"/>
        <v>Figura 3.48: Variação do RPK por nacionalidade da empresa – mercado internacional, 2018/2017</v>
      </c>
      <c r="B105" s="183" t="str">
        <f t="shared" si="9"/>
        <v>Fig 3.48</v>
      </c>
      <c r="C105" s="78" t="str">
        <f t="shared" si="10"/>
        <v>Figura 3.48</v>
      </c>
      <c r="D105" s="183" t="str">
        <f t="shared" si="11"/>
        <v>Variação do RPK por nacionalidade da empresa – mercado internacional, 2018/2017</v>
      </c>
      <c r="E105" s="78" t="s">
        <v>985</v>
      </c>
      <c r="F105" s="78">
        <v>83</v>
      </c>
      <c r="G105" s="78"/>
    </row>
    <row r="106" spans="1:7" x14ac:dyDescent="0.25">
      <c r="A106" s="166" t="str">
        <f t="shared" si="12"/>
        <v>Figura 3.49: Participação de mercado das maiores empresas em termos de RPK – mercado internacional, 2018</v>
      </c>
      <c r="B106" s="183" t="str">
        <f t="shared" si="9"/>
        <v>Fig 3.49</v>
      </c>
      <c r="C106" s="78" t="str">
        <f t="shared" si="10"/>
        <v>Figura 3.49</v>
      </c>
      <c r="D106" s="183" t="str">
        <f t="shared" si="11"/>
        <v>Participação de mercado das maiores empresas em termos de RPK – mercado internacional, 2018</v>
      </c>
      <c r="E106" s="78" t="s">
        <v>986</v>
      </c>
      <c r="F106" s="78">
        <v>85</v>
      </c>
      <c r="G106" s="78"/>
    </row>
    <row r="107" spans="1:7" x14ac:dyDescent="0.25">
      <c r="A107" s="166" t="str">
        <f t="shared" si="12"/>
        <v>Figura 3.50: Variação do RPK das maiores empresas – mercado internacional, 2018/2017</v>
      </c>
      <c r="B107" s="183" t="str">
        <f t="shared" si="9"/>
        <v>Fig 3.50</v>
      </c>
      <c r="C107" s="78" t="str">
        <f t="shared" si="10"/>
        <v>Figura 3.50</v>
      </c>
      <c r="D107" s="183" t="str">
        <f t="shared" si="11"/>
        <v>Variação do RPK das maiores empresas – mercado internacional, 2018/2017</v>
      </c>
      <c r="E107" s="78" t="s">
        <v>987</v>
      </c>
      <c r="F107" s="78">
        <v>85</v>
      </c>
      <c r="G107" s="78"/>
    </row>
    <row r="108" spans="1:7" x14ac:dyDescent="0.25">
      <c r="A108" s="166" t="str">
        <f t="shared" si="12"/>
        <v>Figura 3.51: Evolução da quantidade de carga paga e correio transportados – mercado internacional, 2009 a 2018</v>
      </c>
      <c r="B108" s="183" t="str">
        <f t="shared" si="9"/>
        <v>Fig 3.51</v>
      </c>
      <c r="C108" s="78" t="str">
        <f t="shared" si="10"/>
        <v>Figura 3.51</v>
      </c>
      <c r="D108" s="183" t="str">
        <f t="shared" si="11"/>
        <v>Evolução da quantidade de carga paga e correio transportados – mercado internacional, 2009 a 2018</v>
      </c>
      <c r="E108" s="78" t="s">
        <v>988</v>
      </c>
      <c r="F108" s="78">
        <v>86</v>
      </c>
      <c r="G108" s="78"/>
    </row>
    <row r="109" spans="1:7" x14ac:dyDescent="0.25">
      <c r="A109" s="166" t="str">
        <f t="shared" si="12"/>
        <v>Figura 3.52: Evolução da quantidade de carga paga e correio transportados por nacionalidade das empresas – mercado internacional, 2009 a 2018</v>
      </c>
      <c r="B109" s="183" t="str">
        <f t="shared" si="9"/>
        <v>Fig 3.52</v>
      </c>
      <c r="C109" s="78" t="str">
        <f t="shared" si="10"/>
        <v>Figura 3.52</v>
      </c>
      <c r="D109" s="183" t="str">
        <f t="shared" si="11"/>
        <v>Evolução da quantidade de carga paga e correio transportados por nacionalidade das empresas – mercado internacional, 2009 a 2018</v>
      </c>
      <c r="E109" s="78" t="s">
        <v>989</v>
      </c>
      <c r="F109" s="78">
        <v>86</v>
      </c>
      <c r="G109" s="78"/>
    </row>
    <row r="110" spans="1:7" x14ac:dyDescent="0.25">
      <c r="A110" s="166" t="str">
        <f t="shared" si="12"/>
        <v>Figura 3.53: Variação na quantidade de carga paga e correio transportados – mercado internacional, 2018/2009</v>
      </c>
      <c r="B110" s="183" t="str">
        <f t="shared" si="9"/>
        <v>Fig 3.53</v>
      </c>
      <c r="C110" s="78" t="str">
        <f t="shared" si="10"/>
        <v>Figura 3.53</v>
      </c>
      <c r="D110" s="183" t="str">
        <f t="shared" si="11"/>
        <v>Variação na quantidade de carga paga e correio transportados – mercado internacional, 2018/2009</v>
      </c>
      <c r="E110" s="78" t="s">
        <v>990</v>
      </c>
      <c r="F110" s="78">
        <v>87</v>
      </c>
      <c r="G110" s="78"/>
    </row>
    <row r="111" spans="1:7" x14ac:dyDescent="0.25">
      <c r="A111" s="166" t="str">
        <f t="shared" si="12"/>
        <v>Figura 3.54: Variação na quantidade de carga paga e correio transportados – mercado internacional, 2018/2017</v>
      </c>
      <c r="B111" s="183" t="str">
        <f t="shared" si="9"/>
        <v>Fig 3.54</v>
      </c>
      <c r="C111" s="78" t="str">
        <f t="shared" si="10"/>
        <v>Figura 3.54</v>
      </c>
      <c r="D111" s="183" t="str">
        <f t="shared" si="11"/>
        <v>Variação na quantidade de carga paga e correio transportados – mercado internacional, 2018/2017</v>
      </c>
      <c r="E111" s="78" t="s">
        <v>991</v>
      </c>
      <c r="F111" s="78">
        <v>87</v>
      </c>
      <c r="G111" s="78"/>
    </row>
    <row r="112" spans="1:7" x14ac:dyDescent="0.25">
      <c r="A112" s="166" t="str">
        <f t="shared" si="12"/>
        <v>Figura 3.55: Participação das principais empresas na quantidade de carga paga e correio transportados – mercado internacional, 2018</v>
      </c>
      <c r="B112" s="183" t="str">
        <f t="shared" si="9"/>
        <v>Fig 3.55</v>
      </c>
      <c r="C112" s="78" t="str">
        <f t="shared" si="10"/>
        <v>Figura 3.55</v>
      </c>
      <c r="D112" s="183" t="str">
        <f t="shared" si="11"/>
        <v>Participação das principais empresas na quantidade de carga paga e correio transportados – mercado internacional, 2018</v>
      </c>
      <c r="E112" s="78" t="s">
        <v>992</v>
      </c>
      <c r="F112" s="78">
        <v>88</v>
      </c>
      <c r="G112" s="78"/>
    </row>
    <row r="113" spans="1:7" x14ac:dyDescent="0.25">
      <c r="A113" s="166" t="str">
        <f t="shared" si="12"/>
        <v>Figura 3.56: Variação da quantidade de carga paga e correio transportados pelas principais empresas – mercado internacional, 2018/2017</v>
      </c>
      <c r="B113" s="183" t="str">
        <f t="shared" si="9"/>
        <v>Fig 3.56</v>
      </c>
      <c r="C113" s="78" t="str">
        <f t="shared" si="10"/>
        <v>Figura 3.56</v>
      </c>
      <c r="D113" s="183" t="str">
        <f t="shared" si="11"/>
        <v>Variação da quantidade de carga paga e correio transportados pelas principais empresas – mercado internacional, 2018/2017</v>
      </c>
      <c r="E113" s="78" t="s">
        <v>993</v>
      </c>
      <c r="F113" s="78">
        <v>88</v>
      </c>
      <c r="G113" s="78"/>
    </row>
    <row r="114" spans="1:7" x14ac:dyDescent="0.25">
      <c r="A114" s="166" t="str">
        <f t="shared" si="12"/>
        <v>Figura 3.57: Quantidade de carga paga e correio transportados entre Brasil e demais países por continente – mercado internacional, 2018</v>
      </c>
      <c r="B114" s="183" t="str">
        <f t="shared" si="9"/>
        <v>Fig 3.57</v>
      </c>
      <c r="C114" s="78" t="str">
        <f t="shared" si="10"/>
        <v>Figura 3.57</v>
      </c>
      <c r="D114" s="183" t="str">
        <f t="shared" si="11"/>
        <v>Quantidade de carga paga e correio transportados entre Brasil e demais países por continente – mercado internacional, 2018</v>
      </c>
      <c r="E114" s="78" t="s">
        <v>994</v>
      </c>
      <c r="F114" s="78">
        <v>89</v>
      </c>
      <c r="G114" s="78"/>
    </row>
    <row r="115" spans="1:7" x14ac:dyDescent="0.25">
      <c r="A115" s="166" t="str">
        <f t="shared" si="12"/>
        <v>Figura 3.58: Quantidade de carga paga e correio transportados nas 20 principais rotas internacionais com origem no Brasil, 2018</v>
      </c>
      <c r="B115" s="183" t="str">
        <f t="shared" si="9"/>
        <v>Fig 3.58</v>
      </c>
      <c r="C115" s="78" t="str">
        <f t="shared" si="10"/>
        <v>Figura 3.58</v>
      </c>
      <c r="D115" s="183" t="str">
        <f t="shared" si="11"/>
        <v>Quantidade de carga paga e correio transportados nas 20 principais rotas internacionais com origem no Brasil, 2018</v>
      </c>
      <c r="E115" s="78" t="s">
        <v>995</v>
      </c>
      <c r="F115" s="78">
        <v>89</v>
      </c>
      <c r="G115" s="78"/>
    </row>
    <row r="116" spans="1:7" x14ac:dyDescent="0.25">
      <c r="A116" s="166" t="str">
        <f t="shared" si="12"/>
        <v>Figura 3.59: Quantidade de carga paga e correio transportados nas 20 principais rotas internacionais com destino no Brasil, 2018</v>
      </c>
      <c r="B116" s="183" t="str">
        <f t="shared" si="9"/>
        <v>Fig 3.59</v>
      </c>
      <c r="C116" s="78" t="str">
        <f t="shared" si="10"/>
        <v>Figura 3.59</v>
      </c>
      <c r="D116" s="183" t="str">
        <f t="shared" si="11"/>
        <v>Quantidade de carga paga e correio transportados nas 20 principais rotas internacionais com destino no Brasil, 2018</v>
      </c>
      <c r="E116" s="78" t="s">
        <v>996</v>
      </c>
      <c r="F116" s="78">
        <v>90</v>
      </c>
      <c r="G116" s="78"/>
    </row>
    <row r="117" spans="1:7" x14ac:dyDescent="0.25">
      <c r="A117" s="166" t="str">
        <f t="shared" si="12"/>
        <v>Figura 3.60: Evolução da quantidade de passageiros interestaduais transportados pelos modais aéreo e rodoviário, 2009 a 2018</v>
      </c>
      <c r="B117" s="183" t="str">
        <f t="shared" si="9"/>
        <v>Fig 3.60</v>
      </c>
      <c r="C117" s="78" t="str">
        <f t="shared" si="10"/>
        <v>Figura 3.60</v>
      </c>
      <c r="D117" s="183" t="str">
        <f t="shared" si="11"/>
        <v>Evolução da quantidade de passageiros interestaduais transportados pelos modais aéreo e rodoviário, 2009 a 2018</v>
      </c>
      <c r="E117" s="78" t="s">
        <v>997</v>
      </c>
      <c r="F117" s="78">
        <v>91</v>
      </c>
      <c r="G117" s="78"/>
    </row>
    <row r="118" spans="1:7" x14ac:dyDescent="0.25">
      <c r="A118" s="166" t="str">
        <f t="shared" si="12"/>
        <v>Figura 3.61: Participação dos modais aéreo e rodoviário no transporte interestadual de passageiros, 2018</v>
      </c>
      <c r="B118" s="183" t="str">
        <f t="shared" si="9"/>
        <v>Fig 3.61</v>
      </c>
      <c r="C118" s="78" t="str">
        <f t="shared" si="10"/>
        <v>Figura 3.61</v>
      </c>
      <c r="D118" s="183" t="str">
        <f t="shared" si="11"/>
        <v>Participação dos modais aéreo e rodoviário no transporte interestadual de passageiros, 2018</v>
      </c>
      <c r="E118" s="78" t="s">
        <v>998</v>
      </c>
      <c r="F118" s="78">
        <v>91</v>
      </c>
      <c r="G118" s="78"/>
    </row>
    <row r="119" spans="1:7" x14ac:dyDescent="0.25">
      <c r="A119" s="166" t="str">
        <f t="shared" si="12"/>
        <v>Figura 3.62: Participação dos modais aéreo e rodoviário no transporte interestadual de, 2009 e 2017</v>
      </c>
      <c r="B119" s="183" t="str">
        <f t="shared" si="9"/>
        <v>Fig 3.62</v>
      </c>
      <c r="C119" s="78" t="str">
        <f t="shared" si="10"/>
        <v>Figura 3.62</v>
      </c>
      <c r="D119" s="183" t="str">
        <f t="shared" si="11"/>
        <v>Participação dos modais aéreo e rodoviário no transporte interestadual de, 2009 e 2017</v>
      </c>
      <c r="E119" s="78" t="s">
        <v>999</v>
      </c>
      <c r="F119" s="78">
        <v>92</v>
      </c>
      <c r="G119" s="78"/>
    </row>
    <row r="120" spans="1:7" ht="18.75" x14ac:dyDescent="0.3">
      <c r="A120" s="108" t="s">
        <v>1117</v>
      </c>
      <c r="B120" s="183"/>
      <c r="D120" s="183"/>
      <c r="F120" s="78">
        <v>97</v>
      </c>
      <c r="G120" s="78"/>
    </row>
    <row r="121" spans="1:7" x14ac:dyDescent="0.25">
      <c r="A121" s="166" t="str">
        <f t="shared" ref="A121:A136" si="13">E121</f>
        <v>Figura 4.1: Evolução do aproveitamento em termos de RPK/ASK – mercados doméstico e internacional, 2009 a 2018</v>
      </c>
      <c r="B121" s="183" t="str">
        <f t="shared" ref="B121:B132" si="14">LEFT(A121,3)&amp;" "&amp;MID(A121,8,FIND(":",A121)-8)</f>
        <v>Fig 4.1</v>
      </c>
      <c r="C121" s="78" t="str">
        <f t="shared" ref="C121:C132" si="15">"Figura "&amp;MID(B121,FIND(" ",B121)+1,LEN(B121)-FIND(" ",B121))</f>
        <v>Figura 4.1</v>
      </c>
      <c r="D121" s="183" t="str">
        <f t="shared" ref="D121:D132" si="16">RIGHT(A121,LEN(A121)-FIND(":",A121)-1)</f>
        <v>Evolução do aproveitamento em termos de RPK/ASK – mercados doméstico e internacional, 2009 a 2018</v>
      </c>
      <c r="E121" s="78" t="s">
        <v>1000</v>
      </c>
      <c r="F121" s="78">
        <v>97</v>
      </c>
      <c r="G121" s="78"/>
    </row>
    <row r="122" spans="1:7" x14ac:dyDescent="0.25">
      <c r="A122" s="166" t="str">
        <f t="shared" si="13"/>
        <v>Figura 4.2: Variação do aproveitamento RPK/ASK com relação ao ano anterior – mercados doméstico e internacional, 2009 a 2018</v>
      </c>
      <c r="B122" s="183" t="str">
        <f t="shared" si="14"/>
        <v>Fig 4.2</v>
      </c>
      <c r="C122" s="78" t="str">
        <f t="shared" si="15"/>
        <v>Figura 4.2</v>
      </c>
      <c r="D122" s="183" t="str">
        <f t="shared" si="16"/>
        <v>Variação do aproveitamento RPK/ASK com relação ao ano anterior – mercados doméstico e internacional, 2009 a 2018</v>
      </c>
      <c r="E122" s="78" t="s">
        <v>1001</v>
      </c>
      <c r="F122" s="78">
        <v>98</v>
      </c>
      <c r="G122" s="78"/>
    </row>
    <row r="123" spans="1:7" x14ac:dyDescent="0.25">
      <c r="A123" s="166" t="str">
        <f t="shared" si="13"/>
        <v>Figura 4.3: Aproveitamento RPK/ASK mensal – mercados doméstico e internacional, 2018</v>
      </c>
      <c r="B123" s="183" t="str">
        <f t="shared" si="14"/>
        <v>Fig 4.3</v>
      </c>
      <c r="C123" s="78" t="str">
        <f t="shared" si="15"/>
        <v>Figura 4.3</v>
      </c>
      <c r="D123" s="183" t="str">
        <f t="shared" si="16"/>
        <v>Aproveitamento RPK/ASK mensal – mercados doméstico e internacional, 2018</v>
      </c>
      <c r="E123" s="78" t="s">
        <v>1002</v>
      </c>
      <c r="F123" s="78">
        <v>98</v>
      </c>
      <c r="G123" s="78"/>
    </row>
    <row r="124" spans="1:7" x14ac:dyDescent="0.25">
      <c r="A124" s="166" t="str">
        <f t="shared" si="13"/>
        <v>Figura 4.4: Variação do aproveitamento RPK/ASK com relação ao mesmo mês do ano anterior – mercados doméstico e internacional, 2018</v>
      </c>
      <c r="B124" s="183" t="str">
        <f t="shared" si="14"/>
        <v>Fig 4.4</v>
      </c>
      <c r="C124" s="78" t="str">
        <f t="shared" si="15"/>
        <v>Figura 4.4</v>
      </c>
      <c r="D124" s="183" t="str">
        <f t="shared" si="16"/>
        <v>Variação do aproveitamento RPK/ASK com relação ao mesmo mês do ano anterior – mercados doméstico e internacional, 2018</v>
      </c>
      <c r="E124" s="78" t="s">
        <v>1003</v>
      </c>
      <c r="F124" s="78">
        <v>99</v>
      </c>
      <c r="G124" s="78"/>
    </row>
    <row r="125" spans="1:7" x14ac:dyDescent="0.25">
      <c r="A125" s="166" t="str">
        <f t="shared" si="13"/>
        <v>Figura 4.5: Aproveitamento em termos de Horas Voadas por Aeronave-Dia Disponível por empresa – mercados doméstico e internacional, 2017 (esquerda) e 2018 (direita)</v>
      </c>
      <c r="B125" s="183" t="str">
        <f t="shared" si="14"/>
        <v>Fig 4.5</v>
      </c>
      <c r="C125" s="78" t="str">
        <f t="shared" si="15"/>
        <v>Figura 4.5</v>
      </c>
      <c r="D125" s="183" t="str">
        <f t="shared" si="16"/>
        <v>Aproveitamento em termos de Horas Voadas por Aeronave-Dia Disponível por empresa – mercados doméstico e internacional, 2017 (esquerda) e 2018 (direita)</v>
      </c>
      <c r="E125" s="78" t="s">
        <v>1004</v>
      </c>
      <c r="F125" s="78">
        <v>99</v>
      </c>
      <c r="G125" s="78"/>
    </row>
    <row r="126" spans="1:7" x14ac:dyDescent="0.25">
      <c r="A126" s="166" t="str">
        <f t="shared" si="13"/>
        <v>Figura 4.6: Aproveitamento em termos de Horas Voadas por Aeronave-Dia Disponível por configuração da aeronave – empresas brasileiras, 2017 e 2018</v>
      </c>
      <c r="B126" s="183" t="str">
        <f t="shared" si="14"/>
        <v>Fig 4.6</v>
      </c>
      <c r="C126" s="78" t="str">
        <f t="shared" si="15"/>
        <v>Figura 4.6</v>
      </c>
      <c r="D126" s="183" t="str">
        <f t="shared" si="16"/>
        <v>Aproveitamento em termos de Horas Voadas por Aeronave-Dia Disponível por configuração da aeronave – empresas brasileiras, 2017 e 2018</v>
      </c>
      <c r="E126" s="78" t="s">
        <v>1005</v>
      </c>
      <c r="F126" s="78">
        <v>100</v>
      </c>
      <c r="G126" s="78"/>
    </row>
    <row r="127" spans="1:7" x14ac:dyDescent="0.25">
      <c r="A127" s="166" t="str">
        <f t="shared" si="13"/>
        <v>Figura 4.7: Evolução do aproveitamento em termos de RPK/ASK – mercado doméstico, 2009 a 2018</v>
      </c>
      <c r="B127" s="183" t="str">
        <f t="shared" si="14"/>
        <v>Fig 4.7</v>
      </c>
      <c r="C127" s="78" t="str">
        <f t="shared" si="15"/>
        <v>Figura 4.7</v>
      </c>
      <c r="D127" s="183" t="str">
        <f t="shared" si="16"/>
        <v>Evolução do aproveitamento em termos de RPK/ASK – mercado doméstico, 2009 a 2018</v>
      </c>
      <c r="E127" s="78" t="s">
        <v>1006</v>
      </c>
      <c r="F127" s="78">
        <v>100</v>
      </c>
      <c r="G127" s="78"/>
    </row>
    <row r="128" spans="1:7" x14ac:dyDescent="0.25">
      <c r="A128" s="166" t="str">
        <f t="shared" si="13"/>
        <v>Figura 4.8: Variação do aproveitamento RPK/ASK com relação ao ano anterior – mercado doméstico, 2009 a 2018</v>
      </c>
      <c r="B128" s="183" t="str">
        <f t="shared" si="14"/>
        <v>Fig 4.8</v>
      </c>
      <c r="C128" s="78" t="str">
        <f t="shared" si="15"/>
        <v>Figura 4.8</v>
      </c>
      <c r="D128" s="183" t="str">
        <f t="shared" si="16"/>
        <v>Variação do aproveitamento RPK/ASK com relação ao ano anterior – mercado doméstico, 2009 a 2018</v>
      </c>
      <c r="E128" s="78" t="s">
        <v>1007</v>
      </c>
      <c r="F128" s="78">
        <v>101</v>
      </c>
      <c r="G128" s="78"/>
    </row>
    <row r="129" spans="1:7" x14ac:dyDescent="0.25">
      <c r="A129" s="166" t="str">
        <f t="shared" si="13"/>
        <v>Figura 4.9: Aproveitamento RPK/ASK mensal – mercado doméstico, 2018</v>
      </c>
      <c r="B129" s="183" t="str">
        <f t="shared" si="14"/>
        <v>Fig 4.9</v>
      </c>
      <c r="C129" s="78" t="str">
        <f t="shared" si="15"/>
        <v>Figura 4.9</v>
      </c>
      <c r="D129" s="183" t="str">
        <f t="shared" si="16"/>
        <v>Aproveitamento RPK/ASK mensal – mercado doméstico, 2018</v>
      </c>
      <c r="E129" s="78" t="s">
        <v>1008</v>
      </c>
      <c r="F129" s="78">
        <v>101</v>
      </c>
      <c r="G129" s="78"/>
    </row>
    <row r="130" spans="1:7" x14ac:dyDescent="0.25">
      <c r="A130" s="166" t="str">
        <f t="shared" si="13"/>
        <v>Figura 4.10: Variação do aproveitamento RPK/ASK com relação ao mesmo mês do ano anterior – mercado doméstico, 2018</v>
      </c>
      <c r="B130" s="183" t="str">
        <f t="shared" si="14"/>
        <v>Fig 4.10</v>
      </c>
      <c r="C130" s="78" t="str">
        <f t="shared" si="15"/>
        <v>Figura 4.10</v>
      </c>
      <c r="D130" s="183" t="str">
        <f t="shared" si="16"/>
        <v>Variação do aproveitamento RPK/ASK com relação ao mesmo mês do ano anterior – mercado doméstico, 2018</v>
      </c>
      <c r="E130" s="78" t="s">
        <v>1009</v>
      </c>
      <c r="F130" s="78">
        <v>102</v>
      </c>
      <c r="G130" s="78"/>
    </row>
    <row r="131" spans="1:7" x14ac:dyDescent="0.25">
      <c r="A131" s="166" t="str">
        <f t="shared" si="13"/>
        <v>Figura 4.11: Aproveitamento em termos de RPK/ASK, por empresa – mercado doméstico, 2017 (esquerda) e 2018 (direita)</v>
      </c>
      <c r="B131" s="183" t="str">
        <f t="shared" si="14"/>
        <v>Fig 4.11</v>
      </c>
      <c r="C131" s="78" t="str">
        <f t="shared" si="15"/>
        <v>Figura 4.11</v>
      </c>
      <c r="D131" s="183" t="str">
        <f t="shared" si="16"/>
        <v>Aproveitamento em termos de RPK/ASK, por empresa – mercado doméstico, 2017 (esquerda) e 2018 (direita)</v>
      </c>
      <c r="E131" s="78" t="s">
        <v>1010</v>
      </c>
      <c r="F131" s="78">
        <v>103</v>
      </c>
      <c r="G131" s="78"/>
    </row>
    <row r="132" spans="1:7" x14ac:dyDescent="0.25">
      <c r="A132" s="166" t="str">
        <f t="shared" si="13"/>
        <v>Figura 4.12: Evolução do aproveitamento em termos de RPK/ASK – mercado internacional, 2009 a 2018</v>
      </c>
      <c r="B132" s="183" t="str">
        <f t="shared" si="14"/>
        <v>Fig 4.12</v>
      </c>
      <c r="C132" s="78" t="str">
        <f t="shared" si="15"/>
        <v>Figura 4.12</v>
      </c>
      <c r="D132" s="183" t="str">
        <f t="shared" si="16"/>
        <v>Evolução do aproveitamento em termos de RPK/ASK – mercado internacional, 2009 a 2018</v>
      </c>
      <c r="E132" s="78" t="s">
        <v>1011</v>
      </c>
      <c r="F132" s="78">
        <v>104</v>
      </c>
      <c r="G132" s="78"/>
    </row>
    <row r="133" spans="1:7" x14ac:dyDescent="0.25">
      <c r="A133" s="166" t="str">
        <f t="shared" si="13"/>
        <v>Figura 4.13: Variação do aproveitamento RPK/ASK – mercado internacional, 2018</v>
      </c>
      <c r="B133" s="183" t="str">
        <f>LEFT(A133,3)&amp;" "&amp;MID(A133,8,FIND(":",A133)-8)</f>
        <v>Fig 4.13</v>
      </c>
      <c r="C133" s="78" t="str">
        <f>"Figura "&amp;MID(B133,FIND(" ",B133)+1,LEN(B133)-FIND(" ",B133))</f>
        <v>Figura 4.13</v>
      </c>
      <c r="D133" s="183" t="str">
        <f>RIGHT(A133,LEN(A133)-FIND(":",A133)-1)</f>
        <v>Variação do aproveitamento RPK/ASK – mercado internacional, 2018</v>
      </c>
      <c r="E133" s="78" t="s">
        <v>1012</v>
      </c>
      <c r="F133" s="78">
        <v>105</v>
      </c>
      <c r="G133" s="78"/>
    </row>
    <row r="134" spans="1:7" x14ac:dyDescent="0.25">
      <c r="A134" s="166" t="str">
        <f t="shared" si="13"/>
        <v>Figura 4.14: Aproveitamento RPK/ASK mensal – mercado internacional, 2018</v>
      </c>
      <c r="B134" s="183" t="str">
        <f>LEFT(A134,3)&amp;" "&amp;MID(A134,8,FIND(":",A134)-8)</f>
        <v>Fig 4.14</v>
      </c>
      <c r="C134" s="78" t="str">
        <f>"Figura "&amp;MID(B134,FIND(" ",B134)+1,LEN(B134)-FIND(" ",B134))</f>
        <v>Figura 4.14</v>
      </c>
      <c r="D134" s="183" t="str">
        <f>RIGHT(A134,LEN(A134)-FIND(":",A134)-1)</f>
        <v>Aproveitamento RPK/ASK mensal – mercado internacional, 2018</v>
      </c>
      <c r="E134" s="78" t="s">
        <v>1013</v>
      </c>
      <c r="F134" s="78">
        <v>109</v>
      </c>
      <c r="G134" s="78"/>
    </row>
    <row r="135" spans="1:7" x14ac:dyDescent="0.25">
      <c r="A135" s="166" t="str">
        <f t="shared" si="13"/>
        <v>Figura 4.15: Variação do aproveitamento RPK/ASK com relação ao mesmo mês do ano anterior – mercado internacional, 2018</v>
      </c>
      <c r="B135" s="183" t="str">
        <f>LEFT(A135,3)&amp;" "&amp;MID(A135,8,FIND(":",A135)-8)</f>
        <v>Fig 4.15</v>
      </c>
      <c r="C135" s="78" t="str">
        <f>"Figura "&amp;MID(B135,FIND(" ",B135)+1,LEN(B135)-FIND(" ",B135))</f>
        <v>Figura 4.15</v>
      </c>
      <c r="D135" s="183" t="str">
        <f>RIGHT(A135,LEN(A135)-FIND(":",A135)-1)</f>
        <v>Variação do aproveitamento RPK/ASK com relação ao mesmo mês do ano anterior – mercado internacional, 2018</v>
      </c>
      <c r="E135" s="78" t="s">
        <v>1014</v>
      </c>
      <c r="F135" s="78">
        <v>109</v>
      </c>
      <c r="G135" s="78"/>
    </row>
    <row r="136" spans="1:7" x14ac:dyDescent="0.25">
      <c r="A136" s="166" t="str">
        <f t="shared" si="13"/>
        <v>Figura 4.16: Aproveitamento em termos de RPK/ASK, por empresa – mercado internacional, 2017 (esquerda) e 2018 (direita)</v>
      </c>
      <c r="B136" s="183" t="str">
        <f>LEFT(A136,3)&amp;" "&amp;MID(A136,8,FIND(":",A136)-8)</f>
        <v>Fig 4.16</v>
      </c>
      <c r="C136" s="78" t="str">
        <f>"Figura "&amp;MID(B136,FIND(" ",B136)+1,LEN(B136)-FIND(" ",B136))</f>
        <v>Figura 4.16</v>
      </c>
      <c r="D136" s="183" t="str">
        <f>RIGHT(A136,LEN(A136)-FIND(":",A136)-1)</f>
        <v>Aproveitamento em termos de RPK/ASK, por empresa – mercado internacional, 2017 (esquerda) e 2018 (direita)</v>
      </c>
      <c r="E136" s="78" t="s">
        <v>1015</v>
      </c>
      <c r="F136" s="78">
        <v>110</v>
      </c>
      <c r="G136" s="78"/>
    </row>
    <row r="137" spans="1:7" ht="18.75" x14ac:dyDescent="0.3">
      <c r="A137" s="108" t="s">
        <v>1116</v>
      </c>
      <c r="B137" s="183"/>
      <c r="D137" s="183"/>
      <c r="F137" s="78">
        <v>110</v>
      </c>
      <c r="G137" s="78"/>
    </row>
    <row r="138" spans="1:7" x14ac:dyDescent="0.25">
      <c r="A138" s="166" t="str">
        <f t="shared" ref="A138:A153" si="17">E138</f>
        <v>Figura 5.1: Evolução dos Percentuais de Atrasos e Cancelamentos – indústria, por ano, 2009 a 2018</v>
      </c>
      <c r="B138" s="183" t="str">
        <f t="shared" ref="B138:B153" si="18">LEFT(A138,3)&amp;" "&amp;MID(A138,8,FIND(":",A138)-8)</f>
        <v>Fig 5.1</v>
      </c>
      <c r="C138" s="78" t="str">
        <f t="shared" ref="C138:C153" si="19">"Figura "&amp;MID(B138,FIND(" ",B138)+1,LEN(B138)-FIND(" ",B138))</f>
        <v>Figura 5.1</v>
      </c>
      <c r="D138" s="183" t="str">
        <f t="shared" ref="D138:D153" si="20">RIGHT(A138,LEN(A138)-FIND(":",A138)-1)</f>
        <v>Evolução dos Percentuais de Atrasos e Cancelamentos – indústria, por ano, 2009 a 2018</v>
      </c>
      <c r="E138" s="78" t="s">
        <v>1016</v>
      </c>
      <c r="F138" s="78">
        <v>111</v>
      </c>
      <c r="G138" s="78"/>
    </row>
    <row r="139" spans="1:7" x14ac:dyDescent="0.25">
      <c r="A139" s="166" t="str">
        <f t="shared" si="17"/>
        <v>Figura 5.2: Variação dos Percentuais de Atrasos e Cancelamentos com relação ao ano anterior – indústria, 2009 a 2018</v>
      </c>
      <c r="B139" s="183" t="str">
        <f t="shared" si="18"/>
        <v>Fig 5.2</v>
      </c>
      <c r="C139" s="78" t="str">
        <f t="shared" si="19"/>
        <v>Figura 5.2</v>
      </c>
      <c r="D139" s="183" t="str">
        <f t="shared" si="20"/>
        <v>Variação dos Percentuais de Atrasos e Cancelamentos com relação ao ano anterior – indústria, 2009 a 2018</v>
      </c>
      <c r="E139" s="78" t="s">
        <v>1017</v>
      </c>
      <c r="F139" s="78">
        <v>111</v>
      </c>
      <c r="G139" s="78"/>
    </row>
    <row r="140" spans="1:7" x14ac:dyDescent="0.25">
      <c r="A140" s="166" t="str">
        <f t="shared" si="17"/>
        <v>Figura 5.3: Evolução dos Percentuais de Atrasos e Cancelamentos – indústria, por mês, 2018</v>
      </c>
      <c r="B140" s="183" t="str">
        <f t="shared" si="18"/>
        <v>Fig 5.3</v>
      </c>
      <c r="C140" s="78" t="str">
        <f t="shared" si="19"/>
        <v>Figura 5.3</v>
      </c>
      <c r="D140" s="183" t="str">
        <f t="shared" si="20"/>
        <v>Evolução dos Percentuais de Atrasos e Cancelamentos – indústria, por mês, 2018</v>
      </c>
      <c r="E140" s="78" t="s">
        <v>1018</v>
      </c>
      <c r="F140" s="78">
        <v>112</v>
      </c>
      <c r="G140" s="78"/>
    </row>
    <row r="141" spans="1:7" x14ac:dyDescent="0.25">
      <c r="A141" s="166" t="str">
        <f t="shared" si="17"/>
        <v>Figura 5.4: Variação dos Percentuais de Atrasos e Cancelamentos com relação ao mesmo mês do ano anterior, – indústria, 2018</v>
      </c>
      <c r="B141" s="183" t="str">
        <f t="shared" si="18"/>
        <v>Fig 5.4</v>
      </c>
      <c r="C141" s="78" t="str">
        <f t="shared" si="19"/>
        <v>Figura 5.4</v>
      </c>
      <c r="D141" s="183" t="str">
        <f t="shared" si="20"/>
        <v>Variação dos Percentuais de Atrasos e Cancelamentos com relação ao mesmo mês do ano anterior, – indústria, 2018</v>
      </c>
      <c r="E141" s="78" t="s">
        <v>1019</v>
      </c>
      <c r="F141" s="78">
        <v>112</v>
      </c>
      <c r="G141" s="78"/>
    </row>
    <row r="142" spans="1:7" x14ac:dyDescent="0.25">
      <c r="A142" s="166" t="str">
        <f t="shared" si="17"/>
        <v>Figura 5.5: Evolução dos Percentuais de Atrasos e Cancelamentos – mercado doméstico, por ano, 2009 a 2018</v>
      </c>
      <c r="B142" s="183" t="str">
        <f t="shared" si="18"/>
        <v>Fig 5.5</v>
      </c>
      <c r="C142" s="78" t="str">
        <f t="shared" si="19"/>
        <v>Figura 5.5</v>
      </c>
      <c r="D142" s="183" t="str">
        <f t="shared" si="20"/>
        <v>Evolução dos Percentuais de Atrasos e Cancelamentos – mercado doméstico, por ano, 2009 a 2018</v>
      </c>
      <c r="E142" s="78" t="s">
        <v>1020</v>
      </c>
      <c r="F142" s="78">
        <v>113</v>
      </c>
      <c r="G142" s="78"/>
    </row>
    <row r="143" spans="1:7" x14ac:dyDescent="0.25">
      <c r="A143" s="166" t="str">
        <f t="shared" si="17"/>
        <v>Figura 5.6: Variação dos Percentuais de Atrasos e Cancelamentos com relação ao ano anterior – mercado doméstico, 2009 a 2018</v>
      </c>
      <c r="B143" s="183" t="str">
        <f t="shared" si="18"/>
        <v>Fig 5.6</v>
      </c>
      <c r="C143" s="78" t="str">
        <f t="shared" si="19"/>
        <v>Figura 5.6</v>
      </c>
      <c r="D143" s="183" t="str">
        <f t="shared" si="20"/>
        <v>Variação dos Percentuais de Atrasos e Cancelamentos com relação ao ano anterior – mercado doméstico, 2009 a 2018</v>
      </c>
      <c r="E143" s="78" t="s">
        <v>1021</v>
      </c>
      <c r="F143" s="78">
        <v>113</v>
      </c>
      <c r="G143" s="78"/>
    </row>
    <row r="144" spans="1:7" x14ac:dyDescent="0.25">
      <c r="A144" s="166" t="str">
        <f t="shared" si="17"/>
        <v>Figura 5.7: Percentuais mensais de Atrasos e Cancelamentos – mercado doméstico, 2018</v>
      </c>
      <c r="B144" s="183" t="str">
        <f t="shared" si="18"/>
        <v>Fig 5.7</v>
      </c>
      <c r="C144" s="78" t="str">
        <f t="shared" si="19"/>
        <v>Figura 5.7</v>
      </c>
      <c r="D144" s="183" t="str">
        <f t="shared" si="20"/>
        <v>Percentuais mensais de Atrasos e Cancelamentos – mercado doméstico, 2018</v>
      </c>
      <c r="E144" s="78" t="s">
        <v>1022</v>
      </c>
      <c r="F144" s="78">
        <v>114</v>
      </c>
      <c r="G144" s="78"/>
    </row>
    <row r="145" spans="1:7" x14ac:dyDescent="0.25">
      <c r="A145" s="166" t="str">
        <f t="shared" si="17"/>
        <v>Figura 5.8: Variação dos Percentuais de Atrasos e Cancelamentos com relação ao mesmo mês do ano anterior – mercado doméstico, 2018</v>
      </c>
      <c r="B145" s="183" t="str">
        <f t="shared" si="18"/>
        <v>Fig 5.8</v>
      </c>
      <c r="C145" s="78" t="str">
        <f t="shared" si="19"/>
        <v>Figura 5.8</v>
      </c>
      <c r="D145" s="183" t="str">
        <f t="shared" si="20"/>
        <v>Variação dos Percentuais de Atrasos e Cancelamentos com relação ao mesmo mês do ano anterior – mercado doméstico, 2018</v>
      </c>
      <c r="E145" s="78" t="s">
        <v>1023</v>
      </c>
      <c r="F145" s="78">
        <v>114</v>
      </c>
      <c r="G145" s="78"/>
    </row>
    <row r="146" spans="1:7" x14ac:dyDescent="0.25">
      <c r="A146" s="166" t="str">
        <f t="shared" si="17"/>
        <v>Figura 5.9: Evolução dos Percentuais de Atrasos e Cancelamentos – mercado internacional, por ano, 2009 a 2018</v>
      </c>
      <c r="B146" s="183" t="str">
        <f t="shared" si="18"/>
        <v>Fig 5.9</v>
      </c>
      <c r="C146" s="78" t="str">
        <f t="shared" si="19"/>
        <v>Figura 5.9</v>
      </c>
      <c r="D146" s="183" t="str">
        <f t="shared" si="20"/>
        <v>Evolução dos Percentuais de Atrasos e Cancelamentos – mercado internacional, por ano, 2009 a 2018</v>
      </c>
      <c r="E146" s="78" t="s">
        <v>1024</v>
      </c>
      <c r="F146" s="78">
        <v>115</v>
      </c>
      <c r="G146" s="78"/>
    </row>
    <row r="147" spans="1:7" x14ac:dyDescent="0.25">
      <c r="A147" s="166" t="str">
        <f t="shared" si="17"/>
        <v>Figura 5.10: Variação dos Percentuais de Atrasos e Cancelamentos com relação ao ano anterior – mercado internacional, 2009 a 2018</v>
      </c>
      <c r="B147" s="183" t="str">
        <f t="shared" si="18"/>
        <v>Fig 5.10</v>
      </c>
      <c r="C147" s="78" t="str">
        <f t="shared" si="19"/>
        <v>Figura 5.10</v>
      </c>
      <c r="D147" s="183" t="str">
        <f t="shared" si="20"/>
        <v>Variação dos Percentuais de Atrasos e Cancelamentos com relação ao ano anterior – mercado internacional, 2009 a 2018</v>
      </c>
      <c r="E147" s="78" t="s">
        <v>1025</v>
      </c>
      <c r="F147" s="78">
        <v>115</v>
      </c>
      <c r="G147" s="78"/>
    </row>
    <row r="148" spans="1:7" x14ac:dyDescent="0.25">
      <c r="A148" s="166" t="str">
        <f t="shared" si="17"/>
        <v>Figura 5.11: Evolução dos Percentuais de Atrasos e Cancelamentos – indústria, por mês, 2018</v>
      </c>
      <c r="B148" s="183" t="str">
        <f t="shared" si="18"/>
        <v>Fig 5.11</v>
      </c>
      <c r="C148" s="78" t="str">
        <f t="shared" si="19"/>
        <v>Figura 5.11</v>
      </c>
      <c r="D148" s="183" t="str">
        <f t="shared" si="20"/>
        <v>Evolução dos Percentuais de Atrasos e Cancelamentos – indústria, por mês, 2018</v>
      </c>
      <c r="E148" s="78" t="s">
        <v>1026</v>
      </c>
      <c r="F148" s="78">
        <v>116</v>
      </c>
      <c r="G148" s="78"/>
    </row>
    <row r="149" spans="1:7" x14ac:dyDescent="0.25">
      <c r="A149" s="166" t="str">
        <f t="shared" si="17"/>
        <v>Figura 5.12: Variação dos Percentuais de Atrasos e Cancelamentos com relação ao mesmo mês do ano anterior, – indústria, 2018</v>
      </c>
      <c r="B149" s="183" t="str">
        <f t="shared" si="18"/>
        <v>Fig 5.12</v>
      </c>
      <c r="C149" s="78" t="str">
        <f t="shared" si="19"/>
        <v>Figura 5.12</v>
      </c>
      <c r="D149" s="183" t="str">
        <f t="shared" si="20"/>
        <v>Variação dos Percentuais de Atrasos e Cancelamentos com relação ao mesmo mês do ano anterior, – indústria, 2018</v>
      </c>
      <c r="E149" s="78" t="s">
        <v>1027</v>
      </c>
      <c r="F149" s="78">
        <v>117</v>
      </c>
      <c r="G149" s="78"/>
    </row>
    <row r="150" spans="1:7" x14ac:dyDescent="0.25">
      <c r="A150" s="166" t="str">
        <f t="shared" si="17"/>
        <v>Figura 5.13: Percentuais de Atrasos nas 20 principais rotas domésticas, 2018</v>
      </c>
      <c r="B150" s="183" t="str">
        <f t="shared" si="18"/>
        <v>Fig 5.13</v>
      </c>
      <c r="C150" s="78" t="str">
        <f t="shared" si="19"/>
        <v>Figura 5.13</v>
      </c>
      <c r="D150" s="183" t="str">
        <f t="shared" si="20"/>
        <v>Percentuais de Atrasos nas 20 principais rotas domésticas, 2018</v>
      </c>
      <c r="E150" s="78" t="s">
        <v>1028</v>
      </c>
      <c r="F150" s="78">
        <v>117</v>
      </c>
      <c r="G150" s="78"/>
    </row>
    <row r="151" spans="1:7" x14ac:dyDescent="0.25">
      <c r="A151" s="166" t="str">
        <f t="shared" si="17"/>
        <v>Figura 5.14: Percentuais de Cancelamentos nas 20 principais rotas domésticas, 2018</v>
      </c>
      <c r="B151" s="183" t="str">
        <f t="shared" si="18"/>
        <v>Fig 5.14</v>
      </c>
      <c r="C151" s="78" t="str">
        <f t="shared" si="19"/>
        <v>Figura 5.14</v>
      </c>
      <c r="D151" s="183" t="str">
        <f t="shared" si="20"/>
        <v>Percentuais de Cancelamentos nas 20 principais rotas domésticas, 2018</v>
      </c>
      <c r="E151" s="78" t="s">
        <v>1029</v>
      </c>
      <c r="F151" s="78">
        <v>117</v>
      </c>
      <c r="G151" s="78"/>
    </row>
    <row r="152" spans="1:7" x14ac:dyDescent="0.25">
      <c r="A152" s="166" t="str">
        <f t="shared" si="17"/>
        <v>Figura 5.15: Percentuais de Atrasos nas 20 principais rotas internacionais, 2018</v>
      </c>
      <c r="B152" s="183" t="str">
        <f t="shared" si="18"/>
        <v>Fig 5.15</v>
      </c>
      <c r="C152" s="78" t="str">
        <f t="shared" si="19"/>
        <v>Figura 5.15</v>
      </c>
      <c r="D152" s="183" t="str">
        <f t="shared" si="20"/>
        <v>Percentuais de Atrasos nas 20 principais rotas internacionais, 2018</v>
      </c>
      <c r="E152" s="78" t="s">
        <v>1030</v>
      </c>
      <c r="F152" s="78">
        <v>118</v>
      </c>
      <c r="G152" s="78"/>
    </row>
    <row r="153" spans="1:7" x14ac:dyDescent="0.25">
      <c r="A153" s="166" t="str">
        <f t="shared" si="17"/>
        <v>Figura 5.16: Percentuais de Cancelamentos nas 20 principais rotas internacionais, 2018</v>
      </c>
      <c r="B153" s="183" t="str">
        <f t="shared" si="18"/>
        <v>Fig 5.16</v>
      </c>
      <c r="C153" s="78" t="str">
        <f t="shared" si="19"/>
        <v>Figura 5.16</v>
      </c>
      <c r="D153" s="183" t="str">
        <f t="shared" si="20"/>
        <v>Percentuais de Cancelamentos nas 20 principais rotas internacionais, 2018</v>
      </c>
      <c r="E153" s="78" t="s">
        <v>1031</v>
      </c>
      <c r="F153" s="78">
        <v>118</v>
      </c>
      <c r="G153" s="78"/>
    </row>
    <row r="154" spans="1:7" ht="18.75" x14ac:dyDescent="0.3">
      <c r="A154" s="108" t="s">
        <v>1115</v>
      </c>
      <c r="B154" s="183"/>
      <c r="D154" s="183"/>
      <c r="E154" s="78" t="s">
        <v>1032</v>
      </c>
      <c r="F154" s="78">
        <v>119</v>
      </c>
      <c r="G154" s="78"/>
    </row>
    <row r="155" spans="1:7" x14ac:dyDescent="0.25">
      <c r="A155" s="166" t="str">
        <f t="shared" ref="A155:A189" si="21">E155</f>
        <v>Figura 6.1: Evolução da Tarifa Aérea Média Doméstica Real, 2009 a 2018</v>
      </c>
      <c r="B155" s="183" t="str">
        <f t="shared" ref="B155:B189" si="22">LEFT(A155,3)&amp;" "&amp;MID(A155,8,FIND(":",A155)-8)</f>
        <v>Fig 6.1</v>
      </c>
      <c r="C155" s="78" t="str">
        <f t="shared" ref="C155:C189" si="23">"Figura "&amp;MID(B155,FIND(" ",B155)+1,LEN(B155)-FIND(" ",B155))</f>
        <v>Figura 6.1</v>
      </c>
      <c r="D155" s="183" t="str">
        <f t="shared" ref="D155:D189" si="24">RIGHT(A155,LEN(A155)-FIND(":",A155)-1)</f>
        <v>Evolução da Tarifa Aérea Média Doméstica Real, 2009 a 2018</v>
      </c>
      <c r="E155" s="78" t="s">
        <v>1032</v>
      </c>
      <c r="F155" s="78">
        <v>119</v>
      </c>
      <c r="G155" s="78"/>
    </row>
    <row r="156" spans="1:7" x14ac:dyDescent="0.25">
      <c r="A156" s="166" t="str">
        <f t="shared" si="21"/>
        <v>Figura 6.2: Variação da Tarifa Aérea Média Doméstica Real com relação ao ano anterior, 2009 a 2018</v>
      </c>
      <c r="B156" s="183" t="str">
        <f t="shared" si="22"/>
        <v>Fig 6.2</v>
      </c>
      <c r="C156" s="78" t="str">
        <f t="shared" si="23"/>
        <v>Figura 6.2</v>
      </c>
      <c r="D156" s="183" t="str">
        <f t="shared" si="24"/>
        <v>Variação da Tarifa Aérea Média Doméstica Real com relação ao ano anterior, 2009 a 2018</v>
      </c>
      <c r="E156" s="78" t="s">
        <v>1033</v>
      </c>
      <c r="F156" s="78">
        <v>120</v>
      </c>
      <c r="G156" s="78"/>
    </row>
    <row r="157" spans="1:7" x14ac:dyDescent="0.25">
      <c r="A157" s="166" t="str">
        <f t="shared" si="21"/>
        <v>Figura 6.3: Tarifa Aérea Média Doméstica Real mensal, 2016 a 2018</v>
      </c>
      <c r="B157" s="183" t="str">
        <f t="shared" si="22"/>
        <v>Fig 6.3</v>
      </c>
      <c r="C157" s="78" t="str">
        <f t="shared" si="23"/>
        <v>Figura 6.3</v>
      </c>
      <c r="D157" s="183" t="str">
        <f t="shared" si="24"/>
        <v>Tarifa Aérea Média Doméstica Real mensal, 2016 a 2018</v>
      </c>
      <c r="E157" s="78" t="s">
        <v>1034</v>
      </c>
      <c r="F157" s="78">
        <v>120</v>
      </c>
      <c r="G157" s="78"/>
    </row>
    <row r="158" spans="1:7" x14ac:dyDescent="0.25">
      <c r="A158" s="166" t="str">
        <f t="shared" si="21"/>
        <v>Figura 6.4: Variação Tarifa Aérea Média Doméstica Real com relação ao mesmo mês no ano anterior, 2016 a 2018</v>
      </c>
      <c r="B158" s="183" t="str">
        <f t="shared" si="22"/>
        <v>Fig 6.4</v>
      </c>
      <c r="C158" s="78" t="str">
        <f t="shared" si="23"/>
        <v>Figura 6.4</v>
      </c>
      <c r="D158" s="183" t="str">
        <f t="shared" si="24"/>
        <v>Variação Tarifa Aérea Média Doméstica Real com relação ao mesmo mês no ano anterior, 2016 a 2018</v>
      </c>
      <c r="E158" s="78" t="s">
        <v>1035</v>
      </c>
      <c r="F158" s="78">
        <v>121</v>
      </c>
      <c r="G158" s="78"/>
    </row>
    <row r="159" spans="1:7" x14ac:dyDescent="0.25">
      <c r="A159" s="166" t="str">
        <f t="shared" si="21"/>
        <v>Figura 6.5: Tarifa Aérea Doméstica Real Trimestral, 2016 a 2018</v>
      </c>
      <c r="B159" s="183" t="str">
        <f t="shared" si="22"/>
        <v>Fig 6.5</v>
      </c>
      <c r="C159" s="78" t="str">
        <f t="shared" si="23"/>
        <v>Figura 6.5</v>
      </c>
      <c r="D159" s="183" t="str">
        <f t="shared" si="24"/>
        <v>Tarifa Aérea Doméstica Real Trimestral, 2016 a 2018</v>
      </c>
      <c r="E159" s="78" t="s">
        <v>1036</v>
      </c>
      <c r="F159" s="78">
        <v>122</v>
      </c>
      <c r="G159" s="78"/>
    </row>
    <row r="160" spans="1:7" x14ac:dyDescent="0.25">
      <c r="A160" s="166" t="str">
        <f t="shared" si="21"/>
        <v>Figura 6.6: Variação da Tarifa Aérea Doméstica Real Trimestral com relação ao mesmo trimestre do ano anterior, 2016 a 2018</v>
      </c>
      <c r="B160" s="183" t="str">
        <f t="shared" si="22"/>
        <v>Fig 6.6</v>
      </c>
      <c r="C160" s="78" t="str">
        <f t="shared" si="23"/>
        <v>Figura 6.6</v>
      </c>
      <c r="D160" s="183" t="str">
        <f t="shared" si="24"/>
        <v>Variação da Tarifa Aérea Doméstica Real Trimestral com relação ao mesmo trimestre do ano anterior, 2016 a 2018</v>
      </c>
      <c r="E160" s="78" t="s">
        <v>1037</v>
      </c>
      <c r="F160" s="78">
        <v>123</v>
      </c>
      <c r="G160" s="78"/>
    </row>
    <row r="161" spans="1:7" x14ac:dyDescent="0.25">
      <c r="A161" s="166" t="str">
        <f t="shared" si="21"/>
        <v>Figura 6.7: Distribuição percentual de assentos comercializados por intervalo de Tarifa Aérea Doméstica Real, 2009 e 2018</v>
      </c>
      <c r="B161" s="183" t="str">
        <f t="shared" si="22"/>
        <v>Fig 6.7</v>
      </c>
      <c r="C161" s="78" t="str">
        <f t="shared" si="23"/>
        <v>Figura 6.7</v>
      </c>
      <c r="D161" s="183" t="str">
        <f t="shared" si="24"/>
        <v>Distribuição percentual de assentos comercializados por intervalo de Tarifa Aérea Doméstica Real, 2009 e 2018</v>
      </c>
      <c r="E161" s="78" t="s">
        <v>1038</v>
      </c>
      <c r="F161" s="78">
        <v>124</v>
      </c>
      <c r="G161" s="78"/>
    </row>
    <row r="162" spans="1:7" x14ac:dyDescent="0.25">
      <c r="A162" s="166" t="str">
        <f t="shared" si="21"/>
        <v>Figura 6.8: Evolução da distância direta média, 2009 a 2018</v>
      </c>
      <c r="B162" s="183" t="str">
        <f t="shared" si="22"/>
        <v>Fig 6.8</v>
      </c>
      <c r="C162" s="78" t="str">
        <f t="shared" si="23"/>
        <v>Figura 6.8</v>
      </c>
      <c r="D162" s="183" t="str">
        <f t="shared" si="24"/>
        <v>Evolução da distância direta média, 2009 a 2018</v>
      </c>
      <c r="E162" s="78" t="s">
        <v>1039</v>
      </c>
      <c r="F162" s="78">
        <v>125</v>
      </c>
      <c r="G162" s="78"/>
    </row>
    <row r="163" spans="1:7" x14ac:dyDescent="0.25">
      <c r="A163" s="166" t="str">
        <f t="shared" si="21"/>
        <v>Figura 6.9: Evolução Do Yield Tarifa Aérea Médio Doméstico Real, 2009 a 2018</v>
      </c>
      <c r="B163" s="183" t="str">
        <f t="shared" si="22"/>
        <v>Fig 6.9</v>
      </c>
      <c r="C163" s="78" t="str">
        <f t="shared" si="23"/>
        <v>Figura 6.9</v>
      </c>
      <c r="D163" s="183" t="str">
        <f t="shared" si="24"/>
        <v>Evolução Do Yield Tarifa Aérea Médio Doméstico Real, 2009 a 2018</v>
      </c>
      <c r="E163" s="78" t="s">
        <v>1040</v>
      </c>
      <c r="F163" s="78">
        <v>126</v>
      </c>
      <c r="G163" s="78"/>
    </row>
    <row r="164" spans="1:7" x14ac:dyDescent="0.25">
      <c r="A164" s="166" t="str">
        <f t="shared" si="21"/>
        <v>Figura 6.10: Variação do Yield Tarifa Aérea Médio Doméstica Real com relação ao ano anterior, 2009 a 2018</v>
      </c>
      <c r="B164" s="183" t="str">
        <f t="shared" si="22"/>
        <v>Fig 6.10</v>
      </c>
      <c r="C164" s="78" t="str">
        <f t="shared" si="23"/>
        <v>Figura 6.10</v>
      </c>
      <c r="D164" s="183" t="str">
        <f t="shared" si="24"/>
        <v>Variação do Yield Tarifa Aérea Médio Doméstica Real com relação ao ano anterior, 2009 a 2018</v>
      </c>
      <c r="E164" s="78" t="s">
        <v>1041</v>
      </c>
      <c r="F164" s="78">
        <v>127</v>
      </c>
      <c r="G164" s="78"/>
    </row>
    <row r="165" spans="1:7" x14ac:dyDescent="0.25">
      <c r="A165" s="166" t="str">
        <f t="shared" si="21"/>
        <v>Figura 6.11: Yield Tarifa Aérea Médio Doméstico Real mensal, 2016 a 2018</v>
      </c>
      <c r="B165" s="183" t="str">
        <f t="shared" si="22"/>
        <v>Fig 6.11</v>
      </c>
      <c r="C165" s="78" t="str">
        <f t="shared" si="23"/>
        <v>Figura 6.11</v>
      </c>
      <c r="D165" s="183" t="str">
        <f t="shared" si="24"/>
        <v>Yield Tarifa Aérea Médio Doméstico Real mensal, 2016 a 2018</v>
      </c>
      <c r="E165" s="78" t="s">
        <v>1042</v>
      </c>
      <c r="F165" s="78">
        <v>128</v>
      </c>
      <c r="G165" s="78"/>
    </row>
    <row r="166" spans="1:7" x14ac:dyDescent="0.25">
      <c r="A166" s="166" t="str">
        <f t="shared" si="21"/>
        <v>Figura 6.12: Variação do Yield Tarifa Aérea Médio Doméstico Real com relação ao mesmo mês do ano anterior, 2016 a 2018</v>
      </c>
      <c r="B166" s="183" t="str">
        <f t="shared" si="22"/>
        <v>Fig 6.12</v>
      </c>
      <c r="C166" s="78" t="str">
        <f t="shared" si="23"/>
        <v>Figura 6.12</v>
      </c>
      <c r="D166" s="183" t="str">
        <f t="shared" si="24"/>
        <v>Variação do Yield Tarifa Aérea Médio Doméstico Real com relação ao mesmo mês do ano anterior, 2016 a 2018</v>
      </c>
      <c r="E166" s="78" t="s">
        <v>1043</v>
      </c>
      <c r="F166" s="78">
        <v>129</v>
      </c>
      <c r="G166" s="78"/>
    </row>
    <row r="167" spans="1:7" x14ac:dyDescent="0.25">
      <c r="A167" s="166" t="str">
        <f t="shared" si="21"/>
        <v>Figura 6.13: Yield Tarifa Aérea Doméstica Real médio trimestral, 2016 a 2018</v>
      </c>
      <c r="B167" s="183" t="str">
        <f t="shared" si="22"/>
        <v>Fig 6.13</v>
      </c>
      <c r="C167" s="78" t="str">
        <f t="shared" si="23"/>
        <v>Figura 6.13</v>
      </c>
      <c r="D167" s="183" t="str">
        <f t="shared" si="24"/>
        <v>Yield Tarifa Aérea Doméstica Real médio trimestral, 2016 a 2018</v>
      </c>
      <c r="E167" s="78" t="s">
        <v>1044</v>
      </c>
      <c r="F167" s="78">
        <v>130</v>
      </c>
      <c r="G167" s="78"/>
    </row>
    <row r="168" spans="1:7" x14ac:dyDescent="0.25">
      <c r="A168" s="166" t="str">
        <f t="shared" si="21"/>
        <v>Figura 6.14: Variação do Yield Tarifa Aérea Doméstico Real com relação ao mesmo trimestre do ano anterior, 2016 a 2018</v>
      </c>
      <c r="B168" s="183" t="str">
        <f t="shared" si="22"/>
        <v>Fig 6.14</v>
      </c>
      <c r="C168" s="78" t="str">
        <f t="shared" si="23"/>
        <v>Figura 6.14</v>
      </c>
      <c r="D168" s="183" t="str">
        <f t="shared" si="24"/>
        <v>Variação do Yield Tarifa Aérea Doméstico Real com relação ao mesmo trimestre do ano anterior, 2016 a 2018</v>
      </c>
      <c r="E168" s="78" t="s">
        <v>1045</v>
      </c>
      <c r="F168" s="78">
        <v>131</v>
      </c>
      <c r="G168" s="78"/>
    </row>
    <row r="169" spans="1:7" x14ac:dyDescent="0.25">
      <c r="A169" s="166" t="str">
        <f t="shared" si="21"/>
        <v>Figura 6.15: Distribuição percentual de assentos comercializados por intervalo de Yield Tarifa Aérea Doméstico Real, 2009 e 2018</v>
      </c>
      <c r="B169" s="183" t="str">
        <f t="shared" si="22"/>
        <v>Fig 6.15</v>
      </c>
      <c r="C169" s="78" t="str">
        <f t="shared" si="23"/>
        <v>Figura 6.15</v>
      </c>
      <c r="D169" s="183" t="str">
        <f t="shared" si="24"/>
        <v>Distribuição percentual de assentos comercializados por intervalo de Yield Tarifa Aérea Doméstico Real, 2009 e 2018</v>
      </c>
      <c r="E169" s="78" t="s">
        <v>1046</v>
      </c>
      <c r="F169" s="78">
        <v>134</v>
      </c>
      <c r="G169" s="78"/>
    </row>
    <row r="170" spans="1:7" x14ac:dyDescent="0.25">
      <c r="A170" s="166" t="str">
        <f t="shared" si="21"/>
        <v>Figura 6.16: Evolução da Tarifa Aérea Média Doméstica Real por empresa, 2015 a 2018</v>
      </c>
      <c r="B170" s="183" t="str">
        <f t="shared" si="22"/>
        <v>Fig 6.16</v>
      </c>
      <c r="C170" s="78" t="str">
        <f t="shared" si="23"/>
        <v>Figura 6.16</v>
      </c>
      <c r="D170" s="183" t="str">
        <f t="shared" si="24"/>
        <v>Evolução da Tarifa Aérea Média Doméstica Real por empresa, 2015 a 2018</v>
      </c>
      <c r="E170" s="78" t="s">
        <v>1047</v>
      </c>
      <c r="F170" s="78">
        <v>134</v>
      </c>
      <c r="G170" s="78"/>
    </row>
    <row r="171" spans="1:7" x14ac:dyDescent="0.25">
      <c r="A171" s="166" t="str">
        <f t="shared" si="21"/>
        <v>Figura 6.17: Variação da Tarifa Aérea Média Doméstica Real por empresa, 2015 a 2018</v>
      </c>
      <c r="B171" s="183" t="str">
        <f t="shared" si="22"/>
        <v>Fig 6.17</v>
      </c>
      <c r="C171" s="78" t="str">
        <f t="shared" si="23"/>
        <v>Figura 6.17</v>
      </c>
      <c r="D171" s="183" t="str">
        <f t="shared" si="24"/>
        <v>Variação da Tarifa Aérea Média Doméstica Real por empresa, 2015 a 2018</v>
      </c>
      <c r="E171" s="78" t="s">
        <v>1048</v>
      </c>
      <c r="F171" s="78">
        <v>135</v>
      </c>
      <c r="G171" s="78"/>
    </row>
    <row r="172" spans="1:7" x14ac:dyDescent="0.25">
      <c r="A172" s="166" t="str">
        <f t="shared" si="21"/>
        <v>Figura 6.18: Tarifa Aérea Média Doméstica Real média trimestral por empresa, 2015 a 2018</v>
      </c>
      <c r="B172" s="183" t="str">
        <f t="shared" si="22"/>
        <v>Fig 6.18</v>
      </c>
      <c r="C172" s="78" t="str">
        <f t="shared" si="23"/>
        <v>Figura 6.18</v>
      </c>
      <c r="D172" s="183" t="str">
        <f t="shared" si="24"/>
        <v>Tarifa Aérea Média Doméstica Real média trimestral por empresa, 2015 a 2018</v>
      </c>
      <c r="E172" s="78" t="s">
        <v>1049</v>
      </c>
      <c r="F172" s="78">
        <v>135</v>
      </c>
      <c r="G172" s="78"/>
    </row>
    <row r="173" spans="1:7" x14ac:dyDescent="0.25">
      <c r="A173" s="166" t="str">
        <f t="shared" si="21"/>
        <v>Figura 6.19: Variação da Tarifa Aérea Média Doméstica Real com relação ao mesmo trimestre do ano anterior por empresa, 2015 a 2018</v>
      </c>
      <c r="B173" s="183" t="str">
        <f t="shared" si="22"/>
        <v>Fig 6.19</v>
      </c>
      <c r="C173" s="78" t="str">
        <f t="shared" si="23"/>
        <v>Figura 6.19</v>
      </c>
      <c r="D173" s="183" t="str">
        <f t="shared" si="24"/>
        <v>Variação da Tarifa Aérea Média Doméstica Real com relação ao mesmo trimestre do ano anterior por empresa, 2015 a 2018</v>
      </c>
      <c r="E173" s="78" t="s">
        <v>1050</v>
      </c>
      <c r="F173" s="78">
        <v>136</v>
      </c>
      <c r="G173" s="78"/>
    </row>
    <row r="174" spans="1:7" x14ac:dyDescent="0.25">
      <c r="A174" s="166" t="str">
        <f t="shared" si="21"/>
        <v>Figura 6.20: Evolução do Yield Tarifa Aérea Médio Doméstico Real por empresa, 2015 a 2018</v>
      </c>
      <c r="B174" s="183" t="str">
        <f t="shared" si="22"/>
        <v>Fig 6.20</v>
      </c>
      <c r="C174" s="78" t="str">
        <f t="shared" si="23"/>
        <v>Figura 6.20</v>
      </c>
      <c r="D174" s="183" t="str">
        <f t="shared" si="24"/>
        <v>Evolução do Yield Tarifa Aérea Médio Doméstico Real por empresa, 2015 a 2018</v>
      </c>
      <c r="E174" s="78" t="s">
        <v>1051</v>
      </c>
      <c r="F174" s="78">
        <v>136</v>
      </c>
      <c r="G174" s="78"/>
    </row>
    <row r="175" spans="1:7" x14ac:dyDescent="0.25">
      <c r="A175" s="166" t="str">
        <f t="shared" si="21"/>
        <v>Figura 6.21: Variação do Yield Tarifa Aérea Médio Doméstico Real por empresa, 2015 a 2018</v>
      </c>
      <c r="B175" s="183" t="str">
        <f t="shared" si="22"/>
        <v>Fig 6.21</v>
      </c>
      <c r="C175" s="78" t="str">
        <f t="shared" si="23"/>
        <v>Figura 6.21</v>
      </c>
      <c r="D175" s="183" t="str">
        <f t="shared" si="24"/>
        <v>Variação do Yield Tarifa Aérea Médio Doméstico Real por empresa, 2015 a 2018</v>
      </c>
      <c r="E175" s="78" t="s">
        <v>1052</v>
      </c>
      <c r="F175" s="78">
        <v>137</v>
      </c>
      <c r="G175" s="78"/>
    </row>
    <row r="176" spans="1:7" x14ac:dyDescent="0.25">
      <c r="A176" s="166" t="str">
        <f t="shared" si="21"/>
        <v>Figura 6.22: Yield Tarifa Aérea Médio Doméstico Real trimestral por empresa, 2015 a 2018</v>
      </c>
      <c r="B176" s="183" t="str">
        <f t="shared" si="22"/>
        <v>Fig 6.22</v>
      </c>
      <c r="C176" s="78" t="str">
        <f t="shared" si="23"/>
        <v>Figura 6.22</v>
      </c>
      <c r="D176" s="183" t="str">
        <f t="shared" si="24"/>
        <v>Yield Tarifa Aérea Médio Doméstico Real trimestral por empresa, 2015 a 2018</v>
      </c>
      <c r="E176" s="78" t="s">
        <v>1053</v>
      </c>
      <c r="F176" s="78">
        <v>137</v>
      </c>
      <c r="G176" s="78"/>
    </row>
    <row r="177" spans="1:7" x14ac:dyDescent="0.25">
      <c r="A177" s="166" t="str">
        <f t="shared" si="21"/>
        <v>Figura 6.23: Yield Tarifa Aérea Médio Doméstico Real com relação ao mesmo trimestre do ano anterior por empresa, 2015 a 2018</v>
      </c>
      <c r="B177" s="183" t="str">
        <f t="shared" si="22"/>
        <v>Fig 6.23</v>
      </c>
      <c r="C177" s="78" t="str">
        <f t="shared" si="23"/>
        <v>Figura 6.23</v>
      </c>
      <c r="D177" s="183" t="str">
        <f t="shared" si="24"/>
        <v>Yield Tarifa Aérea Médio Doméstico Real com relação ao mesmo trimestre do ano anterior por empresa, 2015 a 2018</v>
      </c>
      <c r="E177" s="78" t="s">
        <v>1054</v>
      </c>
      <c r="F177" s="78">
        <v>138</v>
      </c>
      <c r="G177" s="78"/>
    </row>
    <row r="178" spans="1:7" x14ac:dyDescent="0.25">
      <c r="A178" s="166" t="str">
        <f t="shared" si="21"/>
        <v>Figura 6.24: Variação da distância direta média por empresa, 2015 a 2018</v>
      </c>
      <c r="B178" s="183" t="str">
        <f t="shared" si="22"/>
        <v>Fig 6.24</v>
      </c>
      <c r="C178" s="78" t="str">
        <f t="shared" si="23"/>
        <v>Figura 6.24</v>
      </c>
      <c r="D178" s="183" t="str">
        <f t="shared" si="24"/>
        <v>Variação da distância direta média por empresa, 2015 a 2018</v>
      </c>
      <c r="E178" s="78" t="s">
        <v>1055</v>
      </c>
      <c r="F178" s="78">
        <v>139</v>
      </c>
      <c r="G178" s="78"/>
    </row>
    <row r="179" spans="1:7" x14ac:dyDescent="0.25">
      <c r="A179" s="166" t="str">
        <f t="shared" si="21"/>
        <v>Figura 6.25: Tarifa Aérea Média Doméstica Real por UF, 2018</v>
      </c>
      <c r="B179" s="183" t="str">
        <f t="shared" si="22"/>
        <v>Fig 6.25</v>
      </c>
      <c r="C179" s="78" t="str">
        <f t="shared" si="23"/>
        <v>Figura 6.25</v>
      </c>
      <c r="D179" s="183" t="str">
        <f t="shared" si="24"/>
        <v>Tarifa Aérea Média Doméstica Real por UF, 2018</v>
      </c>
      <c r="E179" s="78" t="s">
        <v>1056</v>
      </c>
      <c r="F179" s="78">
        <v>139</v>
      </c>
      <c r="G179" s="78"/>
    </row>
    <row r="180" spans="1:7" x14ac:dyDescent="0.25">
      <c r="A180" s="166" t="str">
        <f t="shared" si="21"/>
        <v>Figura 6.26: Variação da Tarifa Aérea Média Doméstica Real por UF, 2018/2017</v>
      </c>
      <c r="B180" s="183" t="str">
        <f t="shared" si="22"/>
        <v>Fig 6.26</v>
      </c>
      <c r="C180" s="78" t="str">
        <f t="shared" si="23"/>
        <v>Figura 6.26</v>
      </c>
      <c r="D180" s="183" t="str">
        <f t="shared" si="24"/>
        <v>Variação da Tarifa Aérea Média Doméstica Real por UF, 2018/2017</v>
      </c>
      <c r="E180" s="78" t="s">
        <v>1057</v>
      </c>
      <c r="F180" s="78">
        <v>139</v>
      </c>
      <c r="G180" s="78"/>
    </row>
    <row r="181" spans="1:7" x14ac:dyDescent="0.25">
      <c r="A181" s="166" t="str">
        <f t="shared" si="21"/>
        <v>Figura 6.27: Variação da Tarifa Aérea Média Doméstica Real por UF, 2018/2011</v>
      </c>
      <c r="B181" s="183" t="str">
        <f t="shared" si="22"/>
        <v>Fig 6.27</v>
      </c>
      <c r="C181" s="78" t="str">
        <f t="shared" si="23"/>
        <v>Figura 6.27</v>
      </c>
      <c r="D181" s="183" t="str">
        <f t="shared" si="24"/>
        <v>Variação da Tarifa Aérea Média Doméstica Real por UF, 2018/2011</v>
      </c>
      <c r="E181" s="78" t="s">
        <v>1058</v>
      </c>
      <c r="F181" s="78">
        <v>141</v>
      </c>
      <c r="G181" s="78"/>
    </row>
    <row r="182" spans="1:7" x14ac:dyDescent="0.25">
      <c r="A182" s="166" t="str">
        <f t="shared" si="21"/>
        <v>Figura 6.28: Percentual de assentos comercializados a tarifas inferiores a R$ 100,00 por UF, 2018</v>
      </c>
      <c r="B182" s="183" t="str">
        <f t="shared" si="22"/>
        <v>Fig 6.28</v>
      </c>
      <c r="C182" s="78" t="str">
        <f t="shared" si="23"/>
        <v>Figura 6.28</v>
      </c>
      <c r="D182" s="183" t="str">
        <f t="shared" si="24"/>
        <v>Percentual de assentos comercializados a tarifas inferiores a R$ 100,00 por UF, 2018</v>
      </c>
      <c r="E182" s="78" t="s">
        <v>1059</v>
      </c>
      <c r="F182" s="78">
        <v>141</v>
      </c>
      <c r="G182" s="78"/>
    </row>
    <row r="183" spans="1:7" x14ac:dyDescent="0.25">
      <c r="A183" s="166" t="str">
        <f t="shared" si="21"/>
        <v>Figura 6.29: Percentual de assentos comercializados a tarifas inferiores a R$ 300,00 por UF, 2018</v>
      </c>
      <c r="B183" s="183" t="str">
        <f>LEFT(A183,3)&amp;" "&amp;MID(A183,8,FIND(":",A183)-8)</f>
        <v>Fig 6.29</v>
      </c>
      <c r="C183" s="78" t="str">
        <f>"Figura "&amp;MID(B183,FIND(" ",B183)+1,LEN(B183)-FIND(" ",B183))</f>
        <v>Figura 6.29</v>
      </c>
      <c r="D183" s="183" t="str">
        <f>RIGHT(A183,LEN(A183)-FIND(":",A183)-1)</f>
        <v>Percentual de assentos comercializados a tarifas inferiores a R$ 300,00 por UF, 2018</v>
      </c>
      <c r="E183" s="78" t="s">
        <v>1060</v>
      </c>
      <c r="F183" s="78">
        <v>142</v>
      </c>
      <c r="G183" s="78"/>
    </row>
    <row r="184" spans="1:7" x14ac:dyDescent="0.25">
      <c r="A184" s="166" t="str">
        <f t="shared" si="21"/>
        <v>Figura 6.30: Distância direta média por UF em quilômetros, 2018</v>
      </c>
      <c r="B184" s="183" t="str">
        <f>LEFT(A184,3)&amp;" "&amp;MID(A184,8,FIND(":",A184)-8)</f>
        <v>Fig 6.30</v>
      </c>
      <c r="C184" s="78" t="str">
        <f>"Figura "&amp;MID(B184,FIND(" ",B184)+1,LEN(B184)-FIND(" ",B184))</f>
        <v>Figura 6.30</v>
      </c>
      <c r="D184" s="183" t="str">
        <f>RIGHT(A184,LEN(A184)-FIND(":",A184)-1)</f>
        <v>Distância direta média por UF em quilômetros, 2018</v>
      </c>
      <c r="E184" s="78" t="s">
        <v>1061</v>
      </c>
      <c r="F184" s="78">
        <v>143</v>
      </c>
      <c r="G184" s="78"/>
    </row>
    <row r="185" spans="1:7" x14ac:dyDescent="0.25">
      <c r="A185" s="166" t="str">
        <f t="shared" si="21"/>
        <v>Figura 6.31: Yield Tarifa Aérea Médio Doméstico Real por UF, 2018</v>
      </c>
      <c r="B185" s="183" t="str">
        <f>LEFT(A185,3)&amp;" "&amp;MID(A185,8,FIND(":",A185)-8)</f>
        <v>Fig 6.31</v>
      </c>
      <c r="C185" s="78" t="str">
        <f>"Figura "&amp;MID(B185,FIND(" ",B185)+1,LEN(B185)-FIND(" ",B185))</f>
        <v>Figura 6.31</v>
      </c>
      <c r="D185" s="183" t="str">
        <f>RIGHT(A185,LEN(A185)-FIND(":",A185)-1)</f>
        <v>Yield Tarifa Aérea Médio Doméstico Real por UF, 2018</v>
      </c>
      <c r="E185" s="78" t="s">
        <v>1062</v>
      </c>
      <c r="F185" s="78">
        <v>143</v>
      </c>
      <c r="G185" s="78"/>
    </row>
    <row r="186" spans="1:7" x14ac:dyDescent="0.25">
      <c r="A186" s="166" t="str">
        <f t="shared" si="21"/>
        <v>Figura 6.32: Variação do Yield Tarifa Aérea Médio Doméstico Real por UF 2018/2017</v>
      </c>
      <c r="B186" s="183" t="str">
        <f t="shared" si="22"/>
        <v>Fig 6.32</v>
      </c>
      <c r="C186" s="78" t="str">
        <f t="shared" si="23"/>
        <v>Figura 6.32</v>
      </c>
      <c r="D186" s="183" t="str">
        <f t="shared" si="24"/>
        <v>Variação do Yield Tarifa Aérea Médio Doméstico Real por UF 2018/2017</v>
      </c>
      <c r="E186" s="78" t="s">
        <v>1063</v>
      </c>
      <c r="F186" s="78">
        <v>144</v>
      </c>
      <c r="G186" s="78"/>
    </row>
    <row r="187" spans="1:7" x14ac:dyDescent="0.25">
      <c r="A187" s="166" t="str">
        <f t="shared" si="21"/>
        <v>Figura 6.33: Variação do Yield Tarifa Aérea Médio Doméstico Real por UF 2018/2011</v>
      </c>
      <c r="B187" s="183" t="str">
        <f t="shared" si="22"/>
        <v>Fig 6.33</v>
      </c>
      <c r="C187" s="78" t="str">
        <f t="shared" si="23"/>
        <v>Figura 6.33</v>
      </c>
      <c r="D187" s="183" t="str">
        <f t="shared" si="24"/>
        <v>Variação do Yield Tarifa Aérea Médio Doméstico Real por UF 2018/2011</v>
      </c>
      <c r="E187" s="78" t="s">
        <v>1064</v>
      </c>
      <c r="F187" s="78">
        <v>144</v>
      </c>
      <c r="G187" s="78"/>
    </row>
    <row r="188" spans="1:7" x14ac:dyDescent="0.25">
      <c r="A188" s="166" t="str">
        <f t="shared" si="21"/>
        <v>Figura 6.34: Percentual de assentos comercializados com Yield inferior a R$ 0,10 por UF em 2018</v>
      </c>
      <c r="B188" s="183" t="str">
        <f t="shared" si="22"/>
        <v>Fig 6.34</v>
      </c>
      <c r="C188" s="78" t="str">
        <f t="shared" si="23"/>
        <v>Figura 6.34</v>
      </c>
      <c r="D188" s="183" t="str">
        <f t="shared" si="24"/>
        <v>Percentual de assentos comercializados com Yield inferior a R$ 0,10 por UF em 2018</v>
      </c>
      <c r="E188" s="78" t="s">
        <v>1065</v>
      </c>
      <c r="F188" s="78">
        <v>145</v>
      </c>
      <c r="G188" s="78"/>
    </row>
    <row r="189" spans="1:7" x14ac:dyDescent="0.25">
      <c r="A189" s="166" t="str">
        <f t="shared" si="21"/>
        <v>Figura 6.35: Percentual de assentos comercializados com Yield inferior a R$ 0,30 por UF em 2018</v>
      </c>
      <c r="B189" s="183" t="str">
        <f t="shared" si="22"/>
        <v>Fig 6.35</v>
      </c>
      <c r="C189" s="78" t="str">
        <f t="shared" si="23"/>
        <v>Figura 6.35</v>
      </c>
      <c r="D189" s="183" t="str">
        <f t="shared" si="24"/>
        <v>Percentual de assentos comercializados com Yield inferior a R$ 0,30 por UF em 2018</v>
      </c>
      <c r="E189" s="78" t="s">
        <v>1066</v>
      </c>
      <c r="F189" s="78">
        <v>145</v>
      </c>
      <c r="G189" s="78"/>
    </row>
    <row r="190" spans="1:7" ht="18.75" x14ac:dyDescent="0.3">
      <c r="A190" s="108" t="s">
        <v>1114</v>
      </c>
      <c r="B190" s="183"/>
      <c r="D190" s="183"/>
      <c r="F190" s="78">
        <v>146</v>
      </c>
      <c r="G190" s="78"/>
    </row>
    <row r="191" spans="1:7" x14ac:dyDescent="0.25">
      <c r="A191" s="166" t="str">
        <f t="shared" ref="A191:A235" si="25">E191</f>
        <v>Figura 7.1: Receita de Serviços Aéreos Públicos (R$ 1.000,00) da indústria, 2009 a 2018</v>
      </c>
      <c r="B191" s="183" t="str">
        <f t="shared" ref="B191:B235" si="26">LEFT(A191,3)&amp;" "&amp;MID(A191,8,FIND(":",A191)-8)</f>
        <v>Fig 7.1</v>
      </c>
      <c r="C191" s="78" t="str">
        <f t="shared" ref="C191:C235" si="27">"Figura "&amp;MID(B191,FIND(" ",B191)+1,LEN(B191)-FIND(" ",B191))</f>
        <v>Figura 7.1</v>
      </c>
      <c r="D191" s="183" t="str">
        <f t="shared" ref="D191:D235" si="28">RIGHT(A191,LEN(A191)-FIND(":",A191)-1)</f>
        <v>Receita de Serviços Aéreos Públicos (R$ 1.000,00) da indústria, 2009 a 2018</v>
      </c>
      <c r="E191" s="78" t="s">
        <v>1067</v>
      </c>
      <c r="F191" s="78">
        <v>146</v>
      </c>
      <c r="G191" s="78"/>
    </row>
    <row r="192" spans="1:7" x14ac:dyDescent="0.25">
      <c r="A192" s="166" t="str">
        <f t="shared" si="25"/>
        <v>Figura 7.2: Variação da Receita de Serviços aéreos Públicos da indústria com relação ao ano anterior, 2010 a 2018</v>
      </c>
      <c r="B192" s="183" t="str">
        <f t="shared" si="26"/>
        <v>Fig 7.2</v>
      </c>
      <c r="C192" s="78" t="str">
        <f t="shared" si="27"/>
        <v>Figura 7.2</v>
      </c>
      <c r="D192" s="183" t="str">
        <f t="shared" si="28"/>
        <v>Variação da Receita de Serviços aéreos Públicos da indústria com relação ao ano anterior, 2010 a 2018</v>
      </c>
      <c r="E192" s="78" t="s">
        <v>1068</v>
      </c>
      <c r="F192" s="78">
        <v>147</v>
      </c>
      <c r="G192" s="78"/>
    </row>
    <row r="193" spans="1:7" x14ac:dyDescent="0.25">
      <c r="A193" s="166" t="str">
        <f t="shared" si="25"/>
        <v>Figura 7.3: Composição das receitas de serviços aéreos públicos da indústria, 2018</v>
      </c>
      <c r="B193" s="183" t="str">
        <f t="shared" si="26"/>
        <v>Fig 7.3</v>
      </c>
      <c r="C193" s="78" t="str">
        <f t="shared" si="27"/>
        <v>Figura 7.3</v>
      </c>
      <c r="D193" s="183" t="str">
        <f t="shared" si="28"/>
        <v>Composição das receitas de serviços aéreos públicos da indústria, 2018</v>
      </c>
      <c r="E193" s="78" t="s">
        <v>1069</v>
      </c>
      <c r="F193" s="78">
        <v>148</v>
      </c>
      <c r="G193" s="78"/>
    </row>
    <row r="194" spans="1:7" x14ac:dyDescent="0.25">
      <c r="A194" s="166" t="str">
        <f t="shared" si="25"/>
        <v>Figura 7.4: Evolução da composição da Receita de Voo por tipo de receita, 2009 a 2018</v>
      </c>
      <c r="B194" s="183" t="str">
        <f t="shared" si="26"/>
        <v>Fig 7.4</v>
      </c>
      <c r="C194" s="78" t="str">
        <f t="shared" si="27"/>
        <v>Figura 7.4</v>
      </c>
      <c r="D194" s="183" t="str">
        <f t="shared" si="28"/>
        <v>Evolução da composição da Receita de Voo por tipo de receita, 2009 a 2018</v>
      </c>
      <c r="E194" s="78" t="s">
        <v>1070</v>
      </c>
      <c r="F194" s="78">
        <v>149</v>
      </c>
      <c r="G194" s="78"/>
    </row>
    <row r="195" spans="1:7" x14ac:dyDescent="0.25">
      <c r="A195" s="166" t="str">
        <f t="shared" si="25"/>
        <v>Figura 7.5: Receita de Serviços Aéreos Públicos (R$ 1.000,00) por empresa, 2015 a 2018</v>
      </c>
      <c r="B195" s="183" t="str">
        <f t="shared" si="26"/>
        <v>Fig 7.5</v>
      </c>
      <c r="C195" s="78" t="str">
        <f t="shared" si="27"/>
        <v>Figura 7.5</v>
      </c>
      <c r="D195" s="183" t="str">
        <f t="shared" si="28"/>
        <v>Receita de Serviços Aéreos Públicos (R$ 1.000,00) por empresa, 2015 a 2018</v>
      </c>
      <c r="E195" s="78" t="s">
        <v>1071</v>
      </c>
      <c r="F195" s="78">
        <v>149</v>
      </c>
      <c r="G195" s="78"/>
    </row>
    <row r="196" spans="1:7" x14ac:dyDescent="0.25">
      <c r="A196" s="166" t="str">
        <f t="shared" si="25"/>
        <v>Figura 7.6: Variação da Receita de Serviços Aéreos Públicos (%) por empresa, 2015 a 2018</v>
      </c>
      <c r="B196" s="183" t="str">
        <f t="shared" si="26"/>
        <v>Fig 7.6</v>
      </c>
      <c r="C196" s="78" t="str">
        <f t="shared" si="27"/>
        <v>Figura 7.6</v>
      </c>
      <c r="D196" s="183" t="str">
        <f t="shared" si="28"/>
        <v>Variação da Receita de Serviços Aéreos Públicos (%) por empresa, 2015 a 2018</v>
      </c>
      <c r="E196" s="78" t="s">
        <v>1072</v>
      </c>
      <c r="F196" s="78">
        <v>150</v>
      </c>
      <c r="G196" s="78"/>
    </row>
    <row r="197" spans="1:7" x14ac:dyDescent="0.25">
      <c r="A197" s="166" t="str">
        <f t="shared" si="25"/>
        <v>Figura 7.7: Receita com Carga e Mala Postal (R$ 1.000,00) da indústria, 2009 a 2018</v>
      </c>
      <c r="B197" s="183" t="str">
        <f t="shared" si="26"/>
        <v>Fig 7.7</v>
      </c>
      <c r="C197" s="78" t="str">
        <f t="shared" si="27"/>
        <v>Figura 7.7</v>
      </c>
      <c r="D197" s="183" t="str">
        <f t="shared" si="28"/>
        <v>Receita com Carga e Mala Postal (R$ 1.000,00) da indústria, 2009 a 2018</v>
      </c>
      <c r="E197" s="78" t="s">
        <v>1073</v>
      </c>
      <c r="F197" s="78">
        <v>151</v>
      </c>
      <c r="G197" s="78"/>
    </row>
    <row r="198" spans="1:7" x14ac:dyDescent="0.25">
      <c r="A198" s="166" t="str">
        <f t="shared" si="25"/>
        <v>Figura 7.8: Receita com Carga e Mala Postal (R$ 1.000,00) por empresa, 2015 a 2018</v>
      </c>
      <c r="B198" s="183" t="str">
        <f t="shared" si="26"/>
        <v>Fig 7.8</v>
      </c>
      <c r="C198" s="78" t="str">
        <f t="shared" si="27"/>
        <v>Figura 7.8</v>
      </c>
      <c r="D198" s="183" t="str">
        <f t="shared" si="28"/>
        <v>Receita com Carga e Mala Postal (R$ 1.000,00) por empresa, 2015 a 2018</v>
      </c>
      <c r="E198" s="78" t="s">
        <v>1074</v>
      </c>
      <c r="F198" s="78">
        <v>152</v>
      </c>
      <c r="G198" s="78"/>
    </row>
    <row r="199" spans="1:7" x14ac:dyDescent="0.25">
      <c r="A199" s="166" t="str">
        <f t="shared" si="25"/>
        <v>Figura 7.9: Custos e Despesas de voo da indústria, 2009 a 2018</v>
      </c>
      <c r="B199" s="183" t="str">
        <f t="shared" si="26"/>
        <v>Fig 7.9</v>
      </c>
      <c r="C199" s="78" t="str">
        <f t="shared" si="27"/>
        <v>Figura 7.9</v>
      </c>
      <c r="D199" s="183" t="str">
        <f t="shared" si="28"/>
        <v>Custos e Despesas de voo da indústria, 2009 a 2018</v>
      </c>
      <c r="E199" s="78" t="s">
        <v>1075</v>
      </c>
      <c r="F199" s="78">
        <v>153</v>
      </c>
      <c r="G199" s="78"/>
    </row>
    <row r="200" spans="1:7" x14ac:dyDescent="0.25">
      <c r="A200" s="166" t="str">
        <f t="shared" si="25"/>
        <v>Figura 7.10: Variação dos custos e despesas de voo da indústria, 2010 a 2018</v>
      </c>
      <c r="B200" s="183" t="str">
        <f t="shared" si="26"/>
        <v>Fig 7.10</v>
      </c>
      <c r="C200" s="78" t="str">
        <f t="shared" si="27"/>
        <v>Figura 7.10</v>
      </c>
      <c r="D200" s="183" t="str">
        <f t="shared" si="28"/>
        <v>Variação dos custos e despesas de voo da indústria, 2010 a 2018</v>
      </c>
      <c r="E200" s="78" t="s">
        <v>1076</v>
      </c>
      <c r="F200" s="78">
        <v>155</v>
      </c>
      <c r="G200" s="78"/>
    </row>
    <row r="201" spans="1:7" x14ac:dyDescent="0.25">
      <c r="A201" s="166" t="str">
        <f t="shared" si="25"/>
        <v>Figura 7.11: Composição dos custos e das despesas de voo da indústria, 2018</v>
      </c>
      <c r="B201" s="183" t="str">
        <f t="shared" si="26"/>
        <v>Fig 7.11</v>
      </c>
      <c r="C201" s="78" t="str">
        <f t="shared" si="27"/>
        <v>Figura 7.11</v>
      </c>
      <c r="D201" s="183" t="str">
        <f t="shared" si="28"/>
        <v>Composição dos custos e das despesas de voo da indústria, 2018</v>
      </c>
      <c r="E201" s="78" t="s">
        <v>1077</v>
      </c>
      <c r="F201" s="78">
        <v>155</v>
      </c>
      <c r="G201" s="78"/>
    </row>
    <row r="202" spans="1:7" x14ac:dyDescent="0.25">
      <c r="A202" s="166" t="str">
        <f t="shared" si="25"/>
        <v>Figura 7.12: Evolução da composição das despesas e dos custos de voo – por tipo, 2015 a 2018</v>
      </c>
      <c r="B202" s="183" t="str">
        <f t="shared" si="26"/>
        <v>Fig 7.12</v>
      </c>
      <c r="C202" s="78" t="str">
        <f t="shared" si="27"/>
        <v>Figura 7.12</v>
      </c>
      <c r="D202" s="183" t="str">
        <f t="shared" si="28"/>
        <v>Evolução da composição das despesas e dos custos de voo – por tipo, 2015 a 2018</v>
      </c>
      <c r="E202" s="78" t="s">
        <v>1078</v>
      </c>
      <c r="F202" s="78">
        <v>156</v>
      </c>
      <c r="G202" s="78"/>
    </row>
    <row r="203" spans="1:7" x14ac:dyDescent="0.25">
      <c r="A203" s="166" t="str">
        <f t="shared" si="25"/>
        <v>Figura 7.13: Evolução das despesas e dos custos de voo da indústria – por tipo, 2009 a 2014</v>
      </c>
      <c r="B203" s="183" t="str">
        <f t="shared" si="26"/>
        <v>Fig 7.13</v>
      </c>
      <c r="C203" s="78" t="str">
        <f t="shared" si="27"/>
        <v>Figura 7.13</v>
      </c>
      <c r="D203" s="183" t="str">
        <f t="shared" si="28"/>
        <v>Evolução das despesas e dos custos de voo da indústria – por tipo, 2009 a 2014</v>
      </c>
      <c r="E203" s="78" t="s">
        <v>1079</v>
      </c>
      <c r="F203" s="78">
        <v>156</v>
      </c>
      <c r="G203" s="78"/>
    </row>
    <row r="204" spans="1:7" x14ac:dyDescent="0.25">
      <c r="A204" s="166" t="str">
        <f t="shared" si="25"/>
        <v>Figura 7.14: Evolução da composição das despesas e dos custos de voo – por tipo, 2009 a 2014</v>
      </c>
      <c r="B204" s="183" t="str">
        <f t="shared" si="26"/>
        <v>Fig 7.14</v>
      </c>
      <c r="C204" s="78" t="str">
        <f t="shared" si="27"/>
        <v>Figura 7.14</v>
      </c>
      <c r="D204" s="183" t="str">
        <f t="shared" si="28"/>
        <v>Evolução da composição das despesas e dos custos de voo – por tipo, 2009 a 2014</v>
      </c>
      <c r="E204" s="78" t="s">
        <v>1080</v>
      </c>
      <c r="F204" s="78">
        <v>157</v>
      </c>
      <c r="G204" s="78"/>
    </row>
    <row r="205" spans="1:7" x14ac:dyDescent="0.25">
      <c r="A205" s="166" t="str">
        <f t="shared" si="25"/>
        <v>Figura 7.15: Evolução dos custos e despesas de voo por empresa, 2015 a 2018</v>
      </c>
      <c r="B205" s="183" t="str">
        <f t="shared" si="26"/>
        <v>Fig 7.15</v>
      </c>
      <c r="C205" s="78" t="str">
        <f t="shared" si="27"/>
        <v>Figura 7.15</v>
      </c>
      <c r="D205" s="183" t="str">
        <f t="shared" si="28"/>
        <v>Evolução dos custos e despesas de voo por empresa, 2015 a 2018</v>
      </c>
      <c r="E205" s="78" t="s">
        <v>1081</v>
      </c>
      <c r="F205" s="78">
        <v>157</v>
      </c>
      <c r="G205" s="78"/>
    </row>
    <row r="206" spans="1:7" x14ac:dyDescent="0.25">
      <c r="A206" s="166" t="str">
        <f t="shared" si="25"/>
        <v>Figura 7.16: Resultado Financeiro (R$ 1.000,00) da indústria, 2009 a 2018</v>
      </c>
      <c r="B206" s="183" t="str">
        <f t="shared" si="26"/>
        <v>Fig 7.16</v>
      </c>
      <c r="C206" s="78" t="str">
        <f t="shared" si="27"/>
        <v>Figura 7.16</v>
      </c>
      <c r="D206" s="183" t="str">
        <f t="shared" si="28"/>
        <v>Resultado Financeiro (R$ 1.000,00) da indústria, 2009 a 2018</v>
      </c>
      <c r="E206" s="78" t="s">
        <v>1082</v>
      </c>
      <c r="F206" s="78">
        <v>158</v>
      </c>
      <c r="G206" s="78"/>
    </row>
    <row r="207" spans="1:7" x14ac:dyDescent="0.25">
      <c r="A207" s="166" t="str">
        <f t="shared" si="25"/>
        <v>Figura 7.17: Resultado Financeiro (R$ 1.000,00) por empresa, 2015 a 2018</v>
      </c>
      <c r="B207" s="183" t="str">
        <f t="shared" si="26"/>
        <v>Fig 7.17</v>
      </c>
      <c r="C207" s="78" t="str">
        <f t="shared" si="27"/>
        <v>Figura 7.17</v>
      </c>
      <c r="D207" s="183" t="str">
        <f t="shared" si="28"/>
        <v>Resultado Financeiro (R$ 1.000,00) por empresa, 2015 a 2018</v>
      </c>
      <c r="E207" s="78" t="s">
        <v>1083</v>
      </c>
      <c r="F207" s="78">
        <v>158</v>
      </c>
      <c r="G207" s="78"/>
    </row>
    <row r="208" spans="1:7" x14ac:dyDescent="0.25">
      <c r="A208" s="166" t="str">
        <f t="shared" si="25"/>
        <v>Figura 7.18: Resultado Líquido da indústria (R$ 1.000,00), 2009 a 2018</v>
      </c>
      <c r="B208" s="183" t="str">
        <f t="shared" si="26"/>
        <v>Fig 7.18</v>
      </c>
      <c r="C208" s="78" t="str">
        <f t="shared" si="27"/>
        <v>Figura 7.18</v>
      </c>
      <c r="D208" s="183" t="str">
        <f t="shared" si="28"/>
        <v>Resultado Líquido da indústria (R$ 1.000,00), 2009 a 2018</v>
      </c>
      <c r="E208" s="78" t="s">
        <v>1084</v>
      </c>
      <c r="F208" s="78">
        <v>160</v>
      </c>
    </row>
    <row r="209" spans="1:6" x14ac:dyDescent="0.25">
      <c r="A209" s="166" t="str">
        <f t="shared" si="25"/>
        <v>Figura 7.19: Resultado Líquido (R$ 1.000,00), 2015 a 2018</v>
      </c>
      <c r="B209" s="183" t="str">
        <f t="shared" si="26"/>
        <v>Fig 7.19</v>
      </c>
      <c r="C209" s="78" t="str">
        <f t="shared" si="27"/>
        <v>Figura 7.19</v>
      </c>
      <c r="D209" s="183" t="str">
        <f t="shared" si="28"/>
        <v>Resultado Líquido (R$ 1.000,00), 2015 a 2018</v>
      </c>
      <c r="E209" s="78" t="s">
        <v>1085</v>
      </c>
      <c r="F209" s="78">
        <v>160</v>
      </c>
    </row>
    <row r="210" spans="1:6" x14ac:dyDescent="0.25">
      <c r="A210" s="166" t="str">
        <f t="shared" si="25"/>
        <v>Figura 7.20: Caixa e equivalentes da Indústria no início e final do período, 2018</v>
      </c>
      <c r="B210" s="183" t="str">
        <f t="shared" si="26"/>
        <v>Fig 7.20</v>
      </c>
      <c r="C210" s="78" t="str">
        <f t="shared" si="27"/>
        <v>Figura 7.20</v>
      </c>
      <c r="D210" s="183" t="str">
        <f t="shared" si="28"/>
        <v>Caixa e equivalentes da Indústria no início e final do período, 2018</v>
      </c>
      <c r="E210" s="78" t="s">
        <v>1086</v>
      </c>
      <c r="F210" s="78">
        <v>161</v>
      </c>
    </row>
    <row r="211" spans="1:6" x14ac:dyDescent="0.25">
      <c r="A211" s="166" t="str">
        <f t="shared" si="25"/>
        <v>Figura 7.21: Caixa líquido gerado/consumido da Indústria, 2018</v>
      </c>
      <c r="B211" s="183" t="str">
        <f t="shared" si="26"/>
        <v>Fig 7.21</v>
      </c>
      <c r="C211" s="78" t="str">
        <f t="shared" si="27"/>
        <v>Figura 7.21</v>
      </c>
      <c r="D211" s="183" t="str">
        <f t="shared" si="28"/>
        <v>Caixa líquido gerado/consumido da Indústria, 2018</v>
      </c>
      <c r="E211" s="78" t="s">
        <v>1087</v>
      </c>
      <c r="F211" s="78">
        <v>161</v>
      </c>
    </row>
    <row r="212" spans="1:6" x14ac:dyDescent="0.25">
      <c r="A212" s="166" t="str">
        <f t="shared" si="25"/>
        <v>Figura 7.22: Caixa e equivalentes no início e final do período por empresa (R$ 1.000.000,00), 2018</v>
      </c>
      <c r="B212" s="183" t="str">
        <f t="shared" si="26"/>
        <v>Fig 7.22</v>
      </c>
      <c r="C212" s="78" t="str">
        <f t="shared" si="27"/>
        <v>Figura 7.22</v>
      </c>
      <c r="D212" s="183" t="str">
        <f t="shared" si="28"/>
        <v>Caixa e equivalentes no início e final do período por empresa (R$ 1.000.000,00), 2018</v>
      </c>
      <c r="E212" s="78" t="s">
        <v>1088</v>
      </c>
      <c r="F212" s="78">
        <v>162</v>
      </c>
    </row>
    <row r="213" spans="1:6" x14ac:dyDescent="0.25">
      <c r="A213" s="166" t="str">
        <f t="shared" si="25"/>
        <v>Figura 7.23: Caixa líquido gerado/consumido por empresa (R$ 1.000.000,00), 2018</v>
      </c>
      <c r="B213" s="183" t="str">
        <f t="shared" si="26"/>
        <v>Fig 7.23</v>
      </c>
      <c r="C213" s="78" t="str">
        <f t="shared" si="27"/>
        <v>Figura 7.23</v>
      </c>
      <c r="D213" s="183" t="str">
        <f t="shared" si="28"/>
        <v>Caixa líquido gerado/consumido por empresa (R$ 1.000.000,00), 2018</v>
      </c>
      <c r="E213" s="78" t="s">
        <v>1089</v>
      </c>
      <c r="F213" s="78">
        <v>162</v>
      </c>
    </row>
    <row r="214" spans="1:6" x14ac:dyDescent="0.25">
      <c r="A214" s="166" t="str">
        <f t="shared" si="25"/>
        <v>Figura 7.24: Margem Bruta da indústria, 2009 a 2018</v>
      </c>
      <c r="B214" s="183" t="str">
        <f t="shared" si="26"/>
        <v>Fig 7.24</v>
      </c>
      <c r="C214" s="78" t="str">
        <f t="shared" si="27"/>
        <v>Figura 7.24</v>
      </c>
      <c r="D214" s="183" t="str">
        <f t="shared" si="28"/>
        <v>Margem Bruta da indústria, 2009 a 2018</v>
      </c>
      <c r="E214" s="78" t="s">
        <v>1090</v>
      </c>
      <c r="F214" s="78">
        <v>198</v>
      </c>
    </row>
    <row r="215" spans="1:6" x14ac:dyDescent="0.25">
      <c r="A215" s="166" t="str">
        <f t="shared" si="25"/>
        <v>Figura 7.25: Margem Bruta por empresa, 2015 a 2018</v>
      </c>
      <c r="B215" s="183" t="str">
        <f t="shared" si="26"/>
        <v>Fig 7.25</v>
      </c>
      <c r="C215" s="78" t="str">
        <f t="shared" si="27"/>
        <v>Figura 7.25</v>
      </c>
      <c r="D215" s="183" t="str">
        <f t="shared" si="28"/>
        <v>Margem Bruta por empresa, 2015 a 2018</v>
      </c>
      <c r="E215" s="78" t="s">
        <v>1091</v>
      </c>
      <c r="F215" s="78">
        <v>199</v>
      </c>
    </row>
    <row r="216" spans="1:6" x14ac:dyDescent="0.25">
      <c r="A216" s="166" t="str">
        <f t="shared" si="25"/>
        <v>Figura 7.26: EBIT (R$ 1.000,00) da indústria, 2009 a 2018</v>
      </c>
      <c r="B216" s="183" t="str">
        <f t="shared" si="26"/>
        <v>Fig 7.26</v>
      </c>
      <c r="C216" s="78" t="str">
        <f t="shared" si="27"/>
        <v>Figura 7.26</v>
      </c>
      <c r="D216" s="183" t="str">
        <f t="shared" si="28"/>
        <v>EBIT (R$ 1.000,00) da indústria, 2009 a 2018</v>
      </c>
      <c r="E216" s="78" t="s">
        <v>1092</v>
      </c>
      <c r="F216" s="78">
        <v>200</v>
      </c>
    </row>
    <row r="217" spans="1:6" x14ac:dyDescent="0.25">
      <c r="A217" s="166" t="str">
        <f t="shared" si="25"/>
        <v>Figura 7.27: EBIT (R$ 1.000,00) por empresa, 2015 a 2018</v>
      </c>
      <c r="B217" s="183" t="str">
        <f t="shared" si="26"/>
        <v>Fig 7.27</v>
      </c>
      <c r="C217" s="78" t="str">
        <f t="shared" si="27"/>
        <v>Figura 7.27</v>
      </c>
      <c r="D217" s="183" t="str">
        <f t="shared" si="28"/>
        <v>EBIT (R$ 1.000,00) por empresa, 2015 a 2018</v>
      </c>
      <c r="E217" s="78" t="s">
        <v>1093</v>
      </c>
      <c r="F217" s="78">
        <v>201</v>
      </c>
    </row>
    <row r="218" spans="1:6" x14ac:dyDescent="0.25">
      <c r="A218" s="166" t="str">
        <f t="shared" si="25"/>
        <v>Figura 7.28: Margem EBIT da indústria, 2009 a 2018</v>
      </c>
      <c r="B218" s="183" t="str">
        <f t="shared" si="26"/>
        <v>Fig 7.28</v>
      </c>
      <c r="C218" s="78" t="str">
        <f t="shared" si="27"/>
        <v>Figura 7.28</v>
      </c>
      <c r="D218" s="183" t="str">
        <f t="shared" si="28"/>
        <v>Margem EBIT da indústria, 2009 a 2018</v>
      </c>
      <c r="E218" s="78" t="s">
        <v>1094</v>
      </c>
      <c r="F218" s="78">
        <v>202</v>
      </c>
    </row>
    <row r="219" spans="1:6" x14ac:dyDescent="0.25">
      <c r="A219" s="166" t="str">
        <f t="shared" si="25"/>
        <v>Figura 7.29: Margem EBIT por empresa, 2015 a 2018</v>
      </c>
      <c r="B219" s="183" t="str">
        <f t="shared" si="26"/>
        <v>Fig 7.29</v>
      </c>
      <c r="C219" s="78" t="str">
        <f t="shared" si="27"/>
        <v>Figura 7.29</v>
      </c>
      <c r="D219" s="183" t="str">
        <f t="shared" si="28"/>
        <v>Margem EBIT por empresa, 2015 a 2018</v>
      </c>
      <c r="E219" s="78" t="s">
        <v>1095</v>
      </c>
      <c r="F219" s="78">
        <v>203</v>
      </c>
    </row>
    <row r="220" spans="1:6" x14ac:dyDescent="0.25">
      <c r="A220" s="166" t="str">
        <f t="shared" si="25"/>
        <v>Figura 7.30: Margem Líquida da indústria, 2009 a 2018</v>
      </c>
      <c r="B220" s="183" t="str">
        <f t="shared" si="26"/>
        <v>Fig 7.30</v>
      </c>
      <c r="C220" s="78" t="str">
        <f t="shared" si="27"/>
        <v>Figura 7.30</v>
      </c>
      <c r="D220" s="183" t="str">
        <f t="shared" si="28"/>
        <v>Margem Líquida da indústria, 2009 a 2018</v>
      </c>
      <c r="E220" s="78" t="s">
        <v>1096</v>
      </c>
      <c r="F220" s="78">
        <v>204</v>
      </c>
    </row>
    <row r="221" spans="1:6" x14ac:dyDescent="0.25">
      <c r="A221" s="166" t="str">
        <f t="shared" si="25"/>
        <v>Figura 7.31: Margem Líquida por empresa, 2015 a 2018</v>
      </c>
      <c r="B221" s="183" t="str">
        <f t="shared" si="26"/>
        <v>Fig 7.31</v>
      </c>
      <c r="C221" s="78" t="str">
        <f t="shared" si="27"/>
        <v>Figura 7.31</v>
      </c>
      <c r="D221" s="183" t="str">
        <f t="shared" si="28"/>
        <v>Margem Líquida por empresa, 2015 a 2018</v>
      </c>
      <c r="E221" s="78" t="s">
        <v>1097</v>
      </c>
      <c r="F221" s="78">
        <v>205</v>
      </c>
    </row>
    <row r="222" spans="1:6" x14ac:dyDescent="0.25">
      <c r="A222" s="166" t="str">
        <f t="shared" si="25"/>
        <v>Figura 7.32: RASK (R$/ASK) da indústria, 2009 a 2018</v>
      </c>
      <c r="B222" s="183" t="str">
        <f t="shared" si="26"/>
        <v>Fig 7.32</v>
      </c>
      <c r="C222" s="78" t="str">
        <f t="shared" si="27"/>
        <v>Figura 7.32</v>
      </c>
      <c r="D222" s="183" t="str">
        <f t="shared" si="28"/>
        <v>RASK (R$/ASK) da indústria, 2009 a 2018</v>
      </c>
      <c r="E222" s="78" t="s">
        <v>1098</v>
      </c>
      <c r="F222" s="78">
        <v>207</v>
      </c>
    </row>
    <row r="223" spans="1:6" x14ac:dyDescent="0.25">
      <c r="A223" s="166" t="str">
        <f t="shared" si="25"/>
        <v>Figura 7.33: RASK (R$/ASK) por empresa, 2015 a 2018</v>
      </c>
      <c r="B223" s="183" t="str">
        <f t="shared" si="26"/>
        <v>Fig 7.33</v>
      </c>
      <c r="C223" s="78" t="str">
        <f t="shared" si="27"/>
        <v>Figura 7.33</v>
      </c>
      <c r="D223" s="183" t="str">
        <f t="shared" si="28"/>
        <v>RASK (R$/ASK) por empresa, 2015 a 2018</v>
      </c>
      <c r="E223" s="78" t="s">
        <v>1099</v>
      </c>
      <c r="F223" s="78">
        <v>207</v>
      </c>
    </row>
    <row r="224" spans="1:6" x14ac:dyDescent="0.25">
      <c r="A224" s="166" t="str">
        <f t="shared" si="25"/>
        <v>Figura 7.34: CASK (R$/ASK) da indústria, 2009 a 2018</v>
      </c>
      <c r="B224" s="183" t="str">
        <f t="shared" si="26"/>
        <v>Fig 7.34</v>
      </c>
      <c r="C224" s="78" t="str">
        <f t="shared" si="27"/>
        <v>Figura 7.34</v>
      </c>
      <c r="D224" s="183" t="str">
        <f t="shared" si="28"/>
        <v>CASK (R$/ASK) da indústria, 2009 a 2018</v>
      </c>
      <c r="E224" s="78" t="s">
        <v>1100</v>
      </c>
      <c r="F224" s="78">
        <v>208</v>
      </c>
    </row>
    <row r="225" spans="1:6" x14ac:dyDescent="0.25">
      <c r="A225" s="166" t="str">
        <f t="shared" si="25"/>
        <v>Figura 7.35: CASK (R$/ASK) por empresa, 2015 a 2018</v>
      </c>
      <c r="B225" s="183" t="str">
        <f t="shared" si="26"/>
        <v>Fig 7.35</v>
      </c>
      <c r="C225" s="78" t="str">
        <f t="shared" si="27"/>
        <v>Figura 7.35</v>
      </c>
      <c r="D225" s="183" t="str">
        <f t="shared" si="28"/>
        <v>CASK (R$/ASK) por empresa, 2015 a 2018</v>
      </c>
      <c r="E225" s="78" t="s">
        <v>1101</v>
      </c>
      <c r="F225" s="78">
        <v>208</v>
      </c>
    </row>
    <row r="226" spans="1:6" x14ac:dyDescent="0.25">
      <c r="A226" s="166" t="str">
        <f t="shared" si="25"/>
        <v>Figura 7.36: RASK Passagem Aérea (R$/ASK) da indústria, 2009 a 2018</v>
      </c>
      <c r="B226" s="183" t="str">
        <f t="shared" si="26"/>
        <v>Fig 7.36</v>
      </c>
      <c r="C226" s="78" t="str">
        <f t="shared" si="27"/>
        <v>Figura 7.36</v>
      </c>
      <c r="D226" s="183" t="str">
        <f t="shared" si="28"/>
        <v>RASK Passagem Aérea (R$/ASK) da indústria, 2009 a 2018</v>
      </c>
      <c r="E226" s="78" t="s">
        <v>1102</v>
      </c>
      <c r="F226" s="78">
        <v>209</v>
      </c>
    </row>
    <row r="227" spans="1:6" x14ac:dyDescent="0.25">
      <c r="A227" s="166" t="str">
        <f t="shared" si="25"/>
        <v>Figura 7.37: RASK Passagem Aérea (R$/ASK) por empresa, 2015 a 2018</v>
      </c>
      <c r="B227" s="183" t="str">
        <f t="shared" si="26"/>
        <v>Fig 7.37</v>
      </c>
      <c r="C227" s="78" t="str">
        <f t="shared" si="27"/>
        <v>Figura 7.37</v>
      </c>
      <c r="D227" s="183" t="str">
        <f t="shared" si="28"/>
        <v>RASK Passagem Aérea (R$/ASK) por empresa, 2015 a 2018</v>
      </c>
      <c r="E227" s="78" t="s">
        <v>1103</v>
      </c>
      <c r="F227" s="78">
        <v>209</v>
      </c>
    </row>
    <row r="228" spans="1:6" x14ac:dyDescent="0.25">
      <c r="A228" s="166" t="str">
        <f t="shared" si="25"/>
        <v>Figura 7.38: RASK/CASK da indústria, 2009 a 2018</v>
      </c>
      <c r="B228" s="183" t="str">
        <f t="shared" si="26"/>
        <v>Fig 7.38</v>
      </c>
      <c r="C228" s="78" t="str">
        <f t="shared" si="27"/>
        <v>Figura 7.38</v>
      </c>
      <c r="D228" s="183" t="str">
        <f t="shared" si="28"/>
        <v>RASK/CASK da indústria, 2009 a 2018</v>
      </c>
      <c r="E228" s="78" t="s">
        <v>1104</v>
      </c>
      <c r="F228" s="78">
        <v>210</v>
      </c>
    </row>
    <row r="229" spans="1:6" x14ac:dyDescent="0.25">
      <c r="A229" s="166" t="str">
        <f t="shared" si="25"/>
        <v>Figura 7.39: RASK/CASK por empresa, 2015 a 2018</v>
      </c>
      <c r="B229" s="183" t="str">
        <f t="shared" si="26"/>
        <v>Fig 7.39</v>
      </c>
      <c r="C229" s="78" t="str">
        <f t="shared" si="27"/>
        <v>Figura 7.39</v>
      </c>
      <c r="D229" s="183" t="str">
        <f t="shared" si="28"/>
        <v>RASK/CASK por empresa, 2015 a 2018</v>
      </c>
      <c r="E229" s="78" t="s">
        <v>1105</v>
      </c>
      <c r="F229" s="78">
        <v>210</v>
      </c>
    </row>
    <row r="230" spans="1:6" x14ac:dyDescent="0.25">
      <c r="A230" s="166" t="str">
        <f t="shared" si="25"/>
        <v>Figura 7.40: RATK (R$/ATK) da indústria, 2009 a 2018</v>
      </c>
      <c r="B230" s="183" t="str">
        <f t="shared" si="26"/>
        <v>Fig 7.40</v>
      </c>
      <c r="C230" s="78" t="str">
        <f t="shared" si="27"/>
        <v>Figura 7.40</v>
      </c>
      <c r="D230" s="183" t="str">
        <f t="shared" si="28"/>
        <v>RATK (R$/ATK) da indústria, 2009 a 2018</v>
      </c>
      <c r="E230" s="78" t="s">
        <v>1106</v>
      </c>
      <c r="F230" s="78">
        <v>211</v>
      </c>
    </row>
    <row r="231" spans="1:6" x14ac:dyDescent="0.25">
      <c r="A231" s="166" t="str">
        <f t="shared" si="25"/>
        <v>Figura 7.41: RATK (R$/ATK) por empresa, 2015 a 2018</v>
      </c>
      <c r="B231" s="183" t="str">
        <f t="shared" si="26"/>
        <v>Fig 7.41</v>
      </c>
      <c r="C231" s="78" t="str">
        <f t="shared" si="27"/>
        <v>Figura 7.41</v>
      </c>
      <c r="D231" s="183" t="str">
        <f t="shared" si="28"/>
        <v>RATK (R$/ATK) por empresa, 2015 a 2018</v>
      </c>
      <c r="E231" s="78" t="s">
        <v>1107</v>
      </c>
      <c r="F231" s="78">
        <v>212</v>
      </c>
    </row>
    <row r="232" spans="1:6" x14ac:dyDescent="0.25">
      <c r="A232" s="166" t="str">
        <f t="shared" si="25"/>
        <v>Figura 7.42: CATK (R$/ATK) da indústria, 2009 a 2018</v>
      </c>
      <c r="B232" s="183" t="str">
        <f t="shared" si="26"/>
        <v>Fig 7.42</v>
      </c>
      <c r="C232" s="78" t="str">
        <f t="shared" si="27"/>
        <v>Figura 7.42</v>
      </c>
      <c r="D232" s="183" t="str">
        <f t="shared" si="28"/>
        <v>CATK (R$/ATK) da indústria, 2009 a 2018</v>
      </c>
      <c r="E232" s="78" t="s">
        <v>1108</v>
      </c>
      <c r="F232" s="78">
        <v>213</v>
      </c>
    </row>
    <row r="233" spans="1:6" x14ac:dyDescent="0.25">
      <c r="A233" s="166" t="str">
        <f t="shared" si="25"/>
        <v>Figura 7.43: CATK (R$/ATK) por empresa, 2015 a 2018</v>
      </c>
      <c r="B233" s="183" t="str">
        <f t="shared" si="26"/>
        <v>Fig 7.43</v>
      </c>
      <c r="C233" s="78" t="str">
        <f t="shared" si="27"/>
        <v>Figura 7.43</v>
      </c>
      <c r="D233" s="183" t="str">
        <f t="shared" si="28"/>
        <v>CATK (R$/ATK) por empresa, 2015 a 2018</v>
      </c>
      <c r="E233" s="78" t="s">
        <v>1109</v>
      </c>
      <c r="F233" s="78">
        <v>213</v>
      </c>
    </row>
    <row r="234" spans="1:6" x14ac:dyDescent="0.25">
      <c r="A234" s="166" t="str">
        <f t="shared" si="25"/>
        <v>Figura 7.44: RATK/CATK da indústria, 2009 a 2018</v>
      </c>
      <c r="B234" s="183" t="str">
        <f t="shared" si="26"/>
        <v>Fig 7.44</v>
      </c>
      <c r="C234" s="78" t="str">
        <f t="shared" si="27"/>
        <v>Figura 7.44</v>
      </c>
      <c r="D234" s="183" t="str">
        <f t="shared" si="28"/>
        <v>RATK/CATK da indústria, 2009 a 2018</v>
      </c>
      <c r="E234" s="78" t="s">
        <v>1110</v>
      </c>
      <c r="F234" s="78">
        <v>214</v>
      </c>
    </row>
    <row r="235" spans="1:6" x14ac:dyDescent="0.25">
      <c r="A235" s="166" t="str">
        <f t="shared" si="25"/>
        <v>Figura 7.45: RATK/CATK por empresa, 2015 a 2018</v>
      </c>
      <c r="B235" s="183" t="str">
        <f t="shared" si="26"/>
        <v>Fig 7.45</v>
      </c>
      <c r="C235" s="78" t="str">
        <f t="shared" si="27"/>
        <v>Figura 7.45</v>
      </c>
      <c r="D235" s="183" t="str">
        <f t="shared" si="28"/>
        <v>RATK/CATK por empresa, 2015 a 2018</v>
      </c>
      <c r="E235" s="78" t="s">
        <v>1111</v>
      </c>
      <c r="F235" s="78">
        <v>214</v>
      </c>
    </row>
    <row r="236" spans="1:6" x14ac:dyDescent="0.25">
      <c r="A236" s="166"/>
      <c r="B236" s="183"/>
      <c r="D236" s="183"/>
    </row>
    <row r="237" spans="1:6" x14ac:dyDescent="0.25">
      <c r="A237" s="166"/>
      <c r="B237" s="183"/>
      <c r="D237" s="183"/>
    </row>
    <row r="238" spans="1:6" x14ac:dyDescent="0.25">
      <c r="A238" s="166"/>
      <c r="B238" s="183"/>
      <c r="D238" s="183"/>
    </row>
    <row r="239" spans="1:6" x14ac:dyDescent="0.25">
      <c r="A239" s="166"/>
      <c r="B239" s="183"/>
      <c r="D239" s="183"/>
    </row>
    <row r="240" spans="1:6" x14ac:dyDescent="0.25">
      <c r="A240" s="166"/>
      <c r="B240" s="183"/>
      <c r="D240" s="183"/>
    </row>
    <row r="241" spans="1:4" x14ac:dyDescent="0.25">
      <c r="A241" s="166"/>
      <c r="B241" s="183"/>
      <c r="D241" s="183"/>
    </row>
    <row r="242" spans="1:4" x14ac:dyDescent="0.25">
      <c r="A242" s="166"/>
      <c r="B242" s="183"/>
      <c r="D242" s="183"/>
    </row>
    <row r="243" spans="1:4" x14ac:dyDescent="0.25">
      <c r="A243" s="166"/>
      <c r="B243" s="183"/>
      <c r="D243" s="183"/>
    </row>
    <row r="244" spans="1:4" x14ac:dyDescent="0.25">
      <c r="A244" s="166"/>
      <c r="B244" s="183"/>
      <c r="D244" s="183"/>
    </row>
    <row r="245" spans="1:4" x14ac:dyDescent="0.25">
      <c r="A245" s="166"/>
      <c r="B245" s="183"/>
      <c r="D245" s="183"/>
    </row>
    <row r="246" spans="1:4" x14ac:dyDescent="0.25">
      <c r="A246" s="166"/>
      <c r="B246" s="183"/>
      <c r="D246" s="183"/>
    </row>
    <row r="247" spans="1:4" x14ac:dyDescent="0.25">
      <c r="A247" s="166"/>
      <c r="B247" s="183"/>
      <c r="D247" s="183"/>
    </row>
    <row r="248" spans="1:4" x14ac:dyDescent="0.25">
      <c r="A248" s="166"/>
      <c r="B248" s="183"/>
      <c r="D248" s="183"/>
    </row>
    <row r="249" spans="1:4" x14ac:dyDescent="0.25">
      <c r="A249" s="166"/>
      <c r="B249" s="183"/>
      <c r="D249" s="183"/>
    </row>
    <row r="250" spans="1:4" x14ac:dyDescent="0.25">
      <c r="A250" s="166"/>
      <c r="B250" s="183"/>
      <c r="D250" s="183"/>
    </row>
    <row r="251" spans="1:4" x14ac:dyDescent="0.25">
      <c r="A251" s="166"/>
      <c r="B251" s="183"/>
      <c r="D251" s="183"/>
    </row>
    <row r="252" spans="1:4" x14ac:dyDescent="0.25">
      <c r="A252" s="166"/>
      <c r="B252" s="183"/>
      <c r="D252" s="183"/>
    </row>
    <row r="253" spans="1:4" x14ac:dyDescent="0.25">
      <c r="A253" s="166"/>
      <c r="B253" s="183"/>
      <c r="D253" s="183"/>
    </row>
    <row r="254" spans="1:4" x14ac:dyDescent="0.25">
      <c r="A254" s="166"/>
      <c r="B254" s="183"/>
      <c r="D254" s="183"/>
    </row>
    <row r="255" spans="1:4" x14ac:dyDescent="0.25">
      <c r="A255" s="166"/>
      <c r="B255" s="183"/>
      <c r="D255" s="183"/>
    </row>
    <row r="256" spans="1:4" x14ac:dyDescent="0.25">
      <c r="A256" s="166"/>
      <c r="B256" s="183"/>
      <c r="D256" s="183"/>
    </row>
    <row r="257" spans="1:6" x14ac:dyDescent="0.25">
      <c r="A257" s="166"/>
      <c r="B257" s="183"/>
      <c r="D257" s="183"/>
    </row>
    <row r="258" spans="1:6" x14ac:dyDescent="0.25">
      <c r="A258" s="166"/>
      <c r="B258" s="183"/>
      <c r="D258" s="183"/>
    </row>
    <row r="259" spans="1:6" x14ac:dyDescent="0.25">
      <c r="A259" s="166"/>
      <c r="B259" s="183"/>
      <c r="D259" s="183"/>
    </row>
    <row r="260" spans="1:6" x14ac:dyDescent="0.25">
      <c r="A260" s="166"/>
      <c r="B260" s="183"/>
      <c r="D260" s="183"/>
    </row>
    <row r="261" spans="1:6" x14ac:dyDescent="0.25">
      <c r="F261" s="78">
        <v>101</v>
      </c>
    </row>
    <row r="262" spans="1:6" x14ac:dyDescent="0.25">
      <c r="F262" s="78">
        <v>102</v>
      </c>
    </row>
    <row r="263" spans="1:6" x14ac:dyDescent="0.25">
      <c r="F263" s="78">
        <v>102</v>
      </c>
    </row>
    <row r="264" spans="1:6" x14ac:dyDescent="0.25">
      <c r="F264" s="78">
        <v>103</v>
      </c>
    </row>
    <row r="265" spans="1:6" x14ac:dyDescent="0.25">
      <c r="F265" s="78">
        <v>103</v>
      </c>
    </row>
    <row r="266" spans="1:6" x14ac:dyDescent="0.25">
      <c r="F266" s="78">
        <v>104</v>
      </c>
    </row>
    <row r="267" spans="1:6" x14ac:dyDescent="0.25">
      <c r="F267" s="78">
        <v>105</v>
      </c>
    </row>
    <row r="268" spans="1:6" x14ac:dyDescent="0.25">
      <c r="F268" s="78">
        <v>108</v>
      </c>
    </row>
    <row r="269" spans="1:6" x14ac:dyDescent="0.25">
      <c r="F269" s="78">
        <v>108</v>
      </c>
    </row>
    <row r="270" spans="1:6" x14ac:dyDescent="0.25">
      <c r="F270" s="78">
        <v>109</v>
      </c>
    </row>
    <row r="271" spans="1:6" x14ac:dyDescent="0.25">
      <c r="F271" s="78">
        <v>109</v>
      </c>
    </row>
    <row r="272" spans="1:6" x14ac:dyDescent="0.25">
      <c r="F272" s="78">
        <v>110</v>
      </c>
    </row>
    <row r="273" spans="6:6" x14ac:dyDescent="0.25">
      <c r="F273" s="78">
        <v>110</v>
      </c>
    </row>
    <row r="274" spans="6:6" x14ac:dyDescent="0.25">
      <c r="F274" s="78">
        <v>111</v>
      </c>
    </row>
    <row r="275" spans="6:6" x14ac:dyDescent="0.25">
      <c r="F275" s="78">
        <v>111</v>
      </c>
    </row>
    <row r="276" spans="6:6" x14ac:dyDescent="0.25">
      <c r="F276" s="78">
        <v>112</v>
      </c>
    </row>
    <row r="277" spans="6:6" x14ac:dyDescent="0.25">
      <c r="F277" s="78">
        <v>113</v>
      </c>
    </row>
    <row r="278" spans="6:6" x14ac:dyDescent="0.25">
      <c r="F278" s="78">
        <v>114</v>
      </c>
    </row>
    <row r="279" spans="6:6" x14ac:dyDescent="0.25">
      <c r="F279" s="78">
        <v>114</v>
      </c>
    </row>
    <row r="280" spans="6:6" x14ac:dyDescent="0.25">
      <c r="F280" s="78">
        <v>115</v>
      </c>
    </row>
    <row r="281" spans="6:6" x14ac:dyDescent="0.25">
      <c r="F281" s="78">
        <v>115</v>
      </c>
    </row>
    <row r="282" spans="6:6" x14ac:dyDescent="0.25">
      <c r="F282" s="78">
        <v>115</v>
      </c>
    </row>
    <row r="283" spans="6:6" x14ac:dyDescent="0.25">
      <c r="F283" s="78">
        <v>116</v>
      </c>
    </row>
    <row r="284" spans="6:6" x14ac:dyDescent="0.25">
      <c r="F284" s="78">
        <v>116</v>
      </c>
    </row>
    <row r="285" spans="6:6" x14ac:dyDescent="0.25">
      <c r="F285" s="78">
        <v>117</v>
      </c>
    </row>
    <row r="286" spans="6:6" x14ac:dyDescent="0.25">
      <c r="F286" s="78">
        <v>117</v>
      </c>
    </row>
    <row r="287" spans="6:6" x14ac:dyDescent="0.25">
      <c r="F287" s="78">
        <v>118</v>
      </c>
    </row>
    <row r="288" spans="6:6" x14ac:dyDescent="0.25">
      <c r="F288" s="78">
        <v>118</v>
      </c>
    </row>
    <row r="289" spans="6:6" x14ac:dyDescent="0.25">
      <c r="F289" s="78">
        <v>119</v>
      </c>
    </row>
    <row r="290" spans="6:6" x14ac:dyDescent="0.25">
      <c r="F290" s="78">
        <v>119</v>
      </c>
    </row>
    <row r="291" spans="6:6" x14ac:dyDescent="0.25">
      <c r="F291" s="78">
        <v>120</v>
      </c>
    </row>
    <row r="292" spans="6:6" x14ac:dyDescent="0.25">
      <c r="F292" s="78">
        <v>121</v>
      </c>
    </row>
    <row r="293" spans="6:6" x14ac:dyDescent="0.25">
      <c r="F293" s="78">
        <v>122</v>
      </c>
    </row>
    <row r="294" spans="6:6" x14ac:dyDescent="0.25">
      <c r="F294" s="78">
        <v>123</v>
      </c>
    </row>
    <row r="295" spans="6:6" x14ac:dyDescent="0.25">
      <c r="F295" s="78">
        <v>123</v>
      </c>
    </row>
    <row r="296" spans="6:6" x14ac:dyDescent="0.25">
      <c r="F296" s="78">
        <v>124</v>
      </c>
    </row>
    <row r="297" spans="6:6" x14ac:dyDescent="0.25">
      <c r="F297" s="78">
        <v>128</v>
      </c>
    </row>
    <row r="298" spans="6:6" x14ac:dyDescent="0.25">
      <c r="F298" s="78">
        <v>128</v>
      </c>
    </row>
    <row r="299" spans="6:6" x14ac:dyDescent="0.25">
      <c r="F299" s="78">
        <v>129</v>
      </c>
    </row>
    <row r="300" spans="6:6" x14ac:dyDescent="0.25">
      <c r="F300" s="78">
        <v>129</v>
      </c>
    </row>
    <row r="301" spans="6:6" x14ac:dyDescent="0.25">
      <c r="F301" s="78">
        <v>130</v>
      </c>
    </row>
    <row r="302" spans="6:6" x14ac:dyDescent="0.25">
      <c r="F302" s="78">
        <v>131</v>
      </c>
    </row>
    <row r="303" spans="6:6" x14ac:dyDescent="0.25">
      <c r="F303" s="78">
        <v>131</v>
      </c>
    </row>
    <row r="304" spans="6:6" x14ac:dyDescent="0.25">
      <c r="F304" s="78">
        <v>132</v>
      </c>
    </row>
    <row r="305" spans="6:6" x14ac:dyDescent="0.25">
      <c r="F305" s="78">
        <v>132</v>
      </c>
    </row>
    <row r="306" spans="6:6" x14ac:dyDescent="0.25">
      <c r="F306" s="78">
        <v>133</v>
      </c>
    </row>
    <row r="307" spans="6:6" x14ac:dyDescent="0.25">
      <c r="F307" s="78">
        <v>134</v>
      </c>
    </row>
    <row r="308" spans="6:6" x14ac:dyDescent="0.25">
      <c r="F308" s="78">
        <v>134</v>
      </c>
    </row>
    <row r="309" spans="6:6" x14ac:dyDescent="0.25">
      <c r="F309" s="78">
        <v>137</v>
      </c>
    </row>
    <row r="310" spans="6:6" x14ac:dyDescent="0.25">
      <c r="F310" s="78">
        <v>138</v>
      </c>
    </row>
    <row r="311" spans="6:6" x14ac:dyDescent="0.25">
      <c r="F311" s="78">
        <v>138</v>
      </c>
    </row>
    <row r="312" spans="6:6" x14ac:dyDescent="0.25">
      <c r="F312" s="78">
        <v>139</v>
      </c>
    </row>
    <row r="313" spans="6:6" x14ac:dyDescent="0.25">
      <c r="F313" s="78">
        <v>140</v>
      </c>
    </row>
    <row r="314" spans="6:6" x14ac:dyDescent="0.25">
      <c r="F314" s="78">
        <v>141</v>
      </c>
    </row>
    <row r="315" spans="6:6" x14ac:dyDescent="0.25">
      <c r="F315" s="78">
        <v>141</v>
      </c>
    </row>
    <row r="316" spans="6:6" x14ac:dyDescent="0.25">
      <c r="F316" s="78">
        <v>142</v>
      </c>
    </row>
    <row r="317" spans="6:6" x14ac:dyDescent="0.25">
      <c r="F317" s="78">
        <v>143</v>
      </c>
    </row>
    <row r="318" spans="6:6" x14ac:dyDescent="0.25">
      <c r="F318" s="78">
        <v>144</v>
      </c>
    </row>
    <row r="319" spans="6:6" x14ac:dyDescent="0.25">
      <c r="F319" s="78">
        <v>144</v>
      </c>
    </row>
    <row r="320" spans="6:6" x14ac:dyDescent="0.25">
      <c r="F320" s="78">
        <v>145</v>
      </c>
    </row>
    <row r="321" spans="6:6" x14ac:dyDescent="0.25">
      <c r="F321" s="78">
        <v>147</v>
      </c>
    </row>
    <row r="322" spans="6:6" x14ac:dyDescent="0.25">
      <c r="F322" s="78">
        <v>148</v>
      </c>
    </row>
    <row r="323" spans="6:6" x14ac:dyDescent="0.25">
      <c r="F323" s="78">
        <v>149</v>
      </c>
    </row>
    <row r="324" spans="6:6" x14ac:dyDescent="0.25">
      <c r="F324" s="78">
        <v>150</v>
      </c>
    </row>
    <row r="325" spans="6:6" x14ac:dyDescent="0.25">
      <c r="F325" s="78">
        <v>156</v>
      </c>
    </row>
    <row r="326" spans="6:6" x14ac:dyDescent="0.25">
      <c r="F326" s="78">
        <v>156</v>
      </c>
    </row>
    <row r="327" spans="6:6" x14ac:dyDescent="0.25">
      <c r="F327" s="78">
        <v>157</v>
      </c>
    </row>
    <row r="328" spans="6:6" x14ac:dyDescent="0.25">
      <c r="F328" s="78">
        <v>157</v>
      </c>
    </row>
    <row r="329" spans="6:6" x14ac:dyDescent="0.25">
      <c r="F329" s="78">
        <v>157</v>
      </c>
    </row>
    <row r="330" spans="6:6" x14ac:dyDescent="0.25">
      <c r="F330" s="78">
        <v>159</v>
      </c>
    </row>
    <row r="331" spans="6:6" x14ac:dyDescent="0.25">
      <c r="F331" s="78">
        <v>159</v>
      </c>
    </row>
    <row r="332" spans="6:6" x14ac:dyDescent="0.25">
      <c r="F332" s="78">
        <v>160</v>
      </c>
    </row>
    <row r="333" spans="6:6" x14ac:dyDescent="0.25">
      <c r="F333" s="78">
        <v>160</v>
      </c>
    </row>
    <row r="334" spans="6:6" x14ac:dyDescent="0.25">
      <c r="F334" s="78">
        <v>161</v>
      </c>
    </row>
    <row r="335" spans="6:6" x14ac:dyDescent="0.25">
      <c r="F335" s="78">
        <v>161</v>
      </c>
    </row>
    <row r="336" spans="6:6" x14ac:dyDescent="0.25">
      <c r="F336" s="78">
        <v>162</v>
      </c>
    </row>
    <row r="337" spans="6:6" x14ac:dyDescent="0.25">
      <c r="F337" s="78">
        <v>163</v>
      </c>
    </row>
    <row r="338" spans="6:6" x14ac:dyDescent="0.25">
      <c r="F338" s="78">
        <v>164</v>
      </c>
    </row>
    <row r="339" spans="6:6" x14ac:dyDescent="0.25">
      <c r="F339" s="78">
        <v>165</v>
      </c>
    </row>
    <row r="340" spans="6:6" x14ac:dyDescent="0.25">
      <c r="F340" s="78">
        <v>166</v>
      </c>
    </row>
    <row r="341" spans="6:6" x14ac:dyDescent="0.25">
      <c r="F341" s="78">
        <v>167</v>
      </c>
    </row>
    <row r="342" spans="6:6" x14ac:dyDescent="0.25">
      <c r="F342" s="78">
        <v>168</v>
      </c>
    </row>
    <row r="343" spans="6:6" x14ac:dyDescent="0.25">
      <c r="F343" s="78">
        <v>170</v>
      </c>
    </row>
    <row r="344" spans="6:6" x14ac:dyDescent="0.25">
      <c r="F344" s="78">
        <v>170</v>
      </c>
    </row>
    <row r="345" spans="6:6" x14ac:dyDescent="0.25">
      <c r="F345" s="78">
        <v>171</v>
      </c>
    </row>
    <row r="346" spans="6:6" x14ac:dyDescent="0.25">
      <c r="F346" s="78">
        <v>171</v>
      </c>
    </row>
    <row r="347" spans="6:6" x14ac:dyDescent="0.25">
      <c r="F347" s="78">
        <v>172</v>
      </c>
    </row>
    <row r="348" spans="6:6" x14ac:dyDescent="0.25">
      <c r="F348" s="78">
        <v>172</v>
      </c>
    </row>
    <row r="349" spans="6:6" x14ac:dyDescent="0.25">
      <c r="F349" s="78">
        <v>173</v>
      </c>
    </row>
    <row r="350" spans="6:6" x14ac:dyDescent="0.25">
      <c r="F350" s="78">
        <v>173</v>
      </c>
    </row>
    <row r="351" spans="6:6" x14ac:dyDescent="0.25">
      <c r="F351" s="78">
        <v>174</v>
      </c>
    </row>
    <row r="352" spans="6:6" x14ac:dyDescent="0.25">
      <c r="F352" s="78">
        <v>175</v>
      </c>
    </row>
    <row r="353" spans="6:6" x14ac:dyDescent="0.25">
      <c r="F353" s="78">
        <v>176</v>
      </c>
    </row>
    <row r="354" spans="6:6" x14ac:dyDescent="0.25">
      <c r="F354" s="78">
        <v>177</v>
      </c>
    </row>
    <row r="355" spans="6:6" x14ac:dyDescent="0.25">
      <c r="F355" s="78">
        <v>178</v>
      </c>
    </row>
    <row r="356" spans="6:6" x14ac:dyDescent="0.25">
      <c r="F356" s="78">
        <v>179</v>
      </c>
    </row>
    <row r="357" spans="6:6" x14ac:dyDescent="0.25">
      <c r="F357" s="78">
        <v>182</v>
      </c>
    </row>
    <row r="358" spans="6:6" x14ac:dyDescent="0.25">
      <c r="F358" s="78">
        <v>183</v>
      </c>
    </row>
    <row r="359" spans="6:6" x14ac:dyDescent="0.25">
      <c r="F359" s="78">
        <v>183</v>
      </c>
    </row>
    <row r="360" spans="6:6" x14ac:dyDescent="0.25">
      <c r="F360" s="78">
        <v>184</v>
      </c>
    </row>
    <row r="361" spans="6:6" x14ac:dyDescent="0.25">
      <c r="F361" s="78">
        <v>184</v>
      </c>
    </row>
    <row r="362" spans="6:6" x14ac:dyDescent="0.25">
      <c r="F362" s="78">
        <v>185</v>
      </c>
    </row>
    <row r="363" spans="6:6" x14ac:dyDescent="0.25">
      <c r="F363" s="78">
        <v>185</v>
      </c>
    </row>
    <row r="364" spans="6:6" x14ac:dyDescent="0.25">
      <c r="F364" s="78">
        <v>186</v>
      </c>
    </row>
    <row r="365" spans="6:6" x14ac:dyDescent="0.25">
      <c r="F365" s="78">
        <v>187</v>
      </c>
    </row>
    <row r="366" spans="6:6" x14ac:dyDescent="0.25">
      <c r="F366" s="78">
        <v>188</v>
      </c>
    </row>
    <row r="367" spans="6:6" x14ac:dyDescent="0.25">
      <c r="F367" s="78">
        <v>188</v>
      </c>
    </row>
    <row r="368" spans="6:6" x14ac:dyDescent="0.25">
      <c r="F368" s="78">
        <v>189</v>
      </c>
    </row>
    <row r="369" spans="6:6" x14ac:dyDescent="0.25">
      <c r="F369" s="78">
        <v>189</v>
      </c>
    </row>
    <row r="370" spans="6:6" x14ac:dyDescent="0.25">
      <c r="F370" s="78">
        <v>190</v>
      </c>
    </row>
    <row r="371" spans="6:6" x14ac:dyDescent="0.25">
      <c r="F371" s="78">
        <v>190</v>
      </c>
    </row>
    <row r="372" spans="6:6" x14ac:dyDescent="0.25">
      <c r="F372" s="78">
        <v>191</v>
      </c>
    </row>
    <row r="373" spans="6:6" x14ac:dyDescent="0.25">
      <c r="F373" s="78">
        <v>191</v>
      </c>
    </row>
    <row r="374" spans="6:6" x14ac:dyDescent="0.25">
      <c r="F374" s="78">
        <v>192</v>
      </c>
    </row>
    <row r="375" spans="6:6" x14ac:dyDescent="0.25">
      <c r="F375" s="78">
        <v>193</v>
      </c>
    </row>
    <row r="376" spans="6:6" x14ac:dyDescent="0.25">
      <c r="F376" s="78">
        <v>194</v>
      </c>
    </row>
    <row r="377" spans="6:6" x14ac:dyDescent="0.25">
      <c r="F377" s="78">
        <v>194</v>
      </c>
    </row>
    <row r="378" spans="6:6" x14ac:dyDescent="0.25">
      <c r="F378" s="78">
        <v>195</v>
      </c>
    </row>
    <row r="379" spans="6:6" x14ac:dyDescent="0.25">
      <c r="F379" s="78">
        <v>195</v>
      </c>
    </row>
    <row r="380" spans="6:6" x14ac:dyDescent="0.25">
      <c r="F380" s="78">
        <v>196</v>
      </c>
    </row>
    <row r="381" spans="6:6" x14ac:dyDescent="0.25">
      <c r="F381" s="78">
        <v>197</v>
      </c>
    </row>
    <row r="382" spans="6:6" x14ac:dyDescent="0.25">
      <c r="F382" s="78">
        <v>198</v>
      </c>
    </row>
    <row r="383" spans="6:6" x14ac:dyDescent="0.25">
      <c r="F383" s="78">
        <v>199</v>
      </c>
    </row>
    <row r="384" spans="6:6" x14ac:dyDescent="0.25">
      <c r="F384" s="78">
        <v>200</v>
      </c>
    </row>
    <row r="385" spans="6:6" x14ac:dyDescent="0.25">
      <c r="F385" s="78">
        <v>201</v>
      </c>
    </row>
    <row r="386" spans="6:6" x14ac:dyDescent="0.25">
      <c r="F386" s="78">
        <v>202</v>
      </c>
    </row>
    <row r="387" spans="6:6" x14ac:dyDescent="0.25">
      <c r="F387" s="78">
        <v>203</v>
      </c>
    </row>
    <row r="388" spans="6:6" x14ac:dyDescent="0.25">
      <c r="F388" s="78">
        <v>205</v>
      </c>
    </row>
    <row r="389" spans="6:6" x14ac:dyDescent="0.25">
      <c r="F389" s="78">
        <v>205</v>
      </c>
    </row>
    <row r="390" spans="6:6" x14ac:dyDescent="0.25">
      <c r="F390" s="78">
        <v>205</v>
      </c>
    </row>
    <row r="391" spans="6:6" x14ac:dyDescent="0.25">
      <c r="F391" s="78">
        <v>206</v>
      </c>
    </row>
    <row r="392" spans="6:6" x14ac:dyDescent="0.25">
      <c r="F392" s="78">
        <v>207</v>
      </c>
    </row>
    <row r="393" spans="6:6" x14ac:dyDescent="0.25">
      <c r="F393" s="78">
        <v>207</v>
      </c>
    </row>
    <row r="394" spans="6:6" x14ac:dyDescent="0.25">
      <c r="F394" s="78">
        <v>208</v>
      </c>
    </row>
    <row r="395" spans="6:6" x14ac:dyDescent="0.25">
      <c r="F395" s="78">
        <v>208</v>
      </c>
    </row>
    <row r="396" spans="6:6" x14ac:dyDescent="0.25">
      <c r="F396" s="78">
        <v>209</v>
      </c>
    </row>
    <row r="397" spans="6:6" x14ac:dyDescent="0.25">
      <c r="F397" s="78">
        <v>210</v>
      </c>
    </row>
    <row r="398" spans="6:6" x14ac:dyDescent="0.25">
      <c r="F398" s="78">
        <v>211</v>
      </c>
    </row>
    <row r="399" spans="6:6" x14ac:dyDescent="0.25">
      <c r="F399" s="78">
        <v>211</v>
      </c>
    </row>
    <row r="400" spans="6:6" x14ac:dyDescent="0.25">
      <c r="F400" s="78">
        <v>212</v>
      </c>
    </row>
    <row r="401" spans="6:6" x14ac:dyDescent="0.25">
      <c r="F401" s="78">
        <v>212</v>
      </c>
    </row>
  </sheetData>
  <hyperlinks>
    <hyperlink ref="A156" location="'Fig 6.2'!A1" display="'Fig 6.2'!A1" xr:uid="{00000000-0004-0000-0000-000000000000}"/>
    <hyperlink ref="A157" location="'Fig 6.3'!A1" display="'Fig 6.3'!A1" xr:uid="{00000000-0004-0000-0000-000001000000}"/>
    <hyperlink ref="A158" location="'Fig 6.4'!A1" display="'Fig 6.4'!A1" xr:uid="{00000000-0004-0000-0000-000002000000}"/>
    <hyperlink ref="A159" location="'Fig 6.5'!A1" display="'Fig 6.5'!A1" xr:uid="{00000000-0004-0000-0000-000003000000}"/>
    <hyperlink ref="A160" location="'Fig 6.6'!A1" display="'Fig 6.6'!A1" xr:uid="{00000000-0004-0000-0000-000004000000}"/>
    <hyperlink ref="A161" location="'Fig 6.7'!A1" display="'Fig 6.7'!A1" xr:uid="{00000000-0004-0000-0000-000005000000}"/>
    <hyperlink ref="A162" location="'Fig 6.8'!A1" display="'Fig 6.8'!A1" xr:uid="{00000000-0004-0000-0000-000006000000}"/>
    <hyperlink ref="A163" location="'Fig 6.9'!A1" display="'Fig 6.9'!A1" xr:uid="{00000000-0004-0000-0000-000007000000}"/>
    <hyperlink ref="A164" location="'Fig 6.10'!A1" display="'Fig 6.10'!A1" xr:uid="{00000000-0004-0000-0000-000008000000}"/>
    <hyperlink ref="A165" location="'Fig 6.11'!A1" display="'Fig 6.11'!A1" xr:uid="{00000000-0004-0000-0000-000009000000}"/>
    <hyperlink ref="A166" location="'Fig 6.12'!A1" display="'Fig 6.12'!A1" xr:uid="{00000000-0004-0000-0000-00000A000000}"/>
    <hyperlink ref="A167" location="'Fig 6.13'!A1" display="'Fig 6.13'!A1" xr:uid="{00000000-0004-0000-0000-00000B000000}"/>
    <hyperlink ref="A168" location="'Fig 6.14'!A1" display="'Fig 6.14'!A1" xr:uid="{00000000-0004-0000-0000-00000C000000}"/>
    <hyperlink ref="A169" location="'Fig 6.15'!A1" display="'Fig 6.15'!A1" xr:uid="{00000000-0004-0000-0000-00000D000000}"/>
    <hyperlink ref="A170" location="'Fig 6.16'!A1" display="'Fig 6.16'!A1" xr:uid="{00000000-0004-0000-0000-00000E000000}"/>
    <hyperlink ref="A171" location="'Fig 6.17'!A1" display="'Fig 6.17'!A1" xr:uid="{00000000-0004-0000-0000-00000F000000}"/>
    <hyperlink ref="A172" location="'Fig 6.18'!A1" display="'Fig 6.18'!A1" xr:uid="{00000000-0004-0000-0000-000010000000}"/>
    <hyperlink ref="A173" location="'Fig 6.19'!A1" display="'Fig 6.19'!A1" xr:uid="{00000000-0004-0000-0000-000011000000}"/>
    <hyperlink ref="A174" location="'Fig 6.20'!A1" display="'Fig 6.20'!A1" xr:uid="{00000000-0004-0000-0000-000012000000}"/>
    <hyperlink ref="A175" location="'Fig 6.21'!A1" display="'Fig 6.21'!A1" xr:uid="{00000000-0004-0000-0000-000013000000}"/>
    <hyperlink ref="A176" location="'Fig 6.22'!A1" display="'Fig 6.22'!A1" xr:uid="{00000000-0004-0000-0000-000014000000}"/>
    <hyperlink ref="A177" location="'Fig 6.23'!A1" display="'Fig 6.23'!A1" xr:uid="{00000000-0004-0000-0000-000015000000}"/>
    <hyperlink ref="A178" location="'Fig 6.24'!A1" display="'Fig 6.24'!A1" xr:uid="{00000000-0004-0000-0000-000016000000}"/>
    <hyperlink ref="A179" location="'Fig 6.25'!A1" display="'Fig 6.25'!A1" xr:uid="{00000000-0004-0000-0000-000017000000}"/>
    <hyperlink ref="A180" location="'Fig 6.26'!A1" display="'Fig 6.26'!A1" xr:uid="{00000000-0004-0000-0000-000018000000}"/>
    <hyperlink ref="A181" location="'Fig 6.27'!A1" display="'Fig 6.27'!A1" xr:uid="{00000000-0004-0000-0000-000019000000}"/>
    <hyperlink ref="A182" location="'Fig 6.28'!A1" display="'Fig 6.28'!A1" xr:uid="{00000000-0004-0000-0000-00001A000000}"/>
    <hyperlink ref="A186" location="'Fig 6.32'!A1" display="'Fig 6.32'!A1" xr:uid="{00000000-0004-0000-0000-00001B000000}"/>
    <hyperlink ref="A187" location="'Fig 6.33'!A1" display="'Fig 6.33'!A1" xr:uid="{00000000-0004-0000-0000-00001C000000}"/>
    <hyperlink ref="A188" location="'Fig 6.34'!A1" display="'Fig 6.34'!A1" xr:uid="{00000000-0004-0000-0000-00001D000000}"/>
    <hyperlink ref="A189" location="'Fig 6.35'!A1" display="'Fig 6.35'!A1" xr:uid="{00000000-0004-0000-0000-00001E000000}"/>
    <hyperlink ref="A4:A10" location="'Fig 2.1'!A1" display="'Fig 2.1'!A1" xr:uid="{00000000-0004-0000-0000-00001F000000}"/>
    <hyperlink ref="A12:A56" location="'Fig 2.1'!A1" display="'Fig 2.1'!A1" xr:uid="{00000000-0004-0000-0000-000020000000}"/>
    <hyperlink ref="A58:A119" location="'Fig 2.1'!A1" display="'Fig 2.1'!A1" xr:uid="{00000000-0004-0000-0000-000021000000}"/>
    <hyperlink ref="A121:A136" location="'Fig 2.1'!A1" display="'Fig 2.1'!A1" xr:uid="{00000000-0004-0000-0000-000022000000}"/>
    <hyperlink ref="A4" location="'Fig 2.1'!A1" display="'Fig 2.1'!A1" xr:uid="{00000000-0004-0000-0000-000023000000}"/>
    <hyperlink ref="A5" location="'Fig 2.2'!A1" display="'Fig 2.2'!A1" xr:uid="{00000000-0004-0000-0000-000024000000}"/>
    <hyperlink ref="A6" location="'Fig 2.3'!A1" display="'Fig 2.3'!A1" xr:uid="{00000000-0004-0000-0000-000025000000}"/>
    <hyperlink ref="A7" location="'Fig 2.4'!A1" display="'Fig 2.4'!A1" xr:uid="{00000000-0004-0000-0000-000026000000}"/>
    <hyperlink ref="A8" location="'Fig 1.5'!A1" display="'Fig 1.5'!A1" xr:uid="{00000000-0004-0000-0000-000027000000}"/>
    <hyperlink ref="A9" location="'Fig 1.6'!A1" display="'Fig 1.6'!A1" xr:uid="{00000000-0004-0000-0000-000028000000}"/>
    <hyperlink ref="A10" location="'Fig 1.7'!A1" display="'Fig 1.7'!A1" xr:uid="{00000000-0004-0000-0000-000029000000}"/>
    <hyperlink ref="A12" location="'Fig 2.1'!A1" display="'Fig 2.1'!A1" xr:uid="{00000000-0004-0000-0000-00002A000000}"/>
    <hyperlink ref="A13" location="'Fig 2.2'!A1" display="'Fig 2.2'!A1" xr:uid="{00000000-0004-0000-0000-00002B000000}"/>
    <hyperlink ref="A14" location="'Fig 2.3'!A1" display="'Fig 2.3'!A1" xr:uid="{00000000-0004-0000-0000-00002C000000}"/>
    <hyperlink ref="A15" location="'Fig 2.4'!A1" display="'Fig 2.4'!A1" xr:uid="{00000000-0004-0000-0000-00002D000000}"/>
    <hyperlink ref="A16" location="'Fig 2.5'!A1" display="'Fig 2.5'!A1" xr:uid="{00000000-0004-0000-0000-00002E000000}"/>
    <hyperlink ref="A17" location="'Fig 2.6'!A1" display="'Fig 2.6'!A1" xr:uid="{00000000-0004-0000-0000-00002F000000}"/>
    <hyperlink ref="A18" location="'Fig 2.7'!A1" display="'Fig 2.7'!A1" xr:uid="{00000000-0004-0000-0000-000030000000}"/>
    <hyperlink ref="A19" location="'Fig 2.8'!A1" display="'Fig 2.8'!A1" xr:uid="{00000000-0004-0000-0000-000031000000}"/>
    <hyperlink ref="A20" location="'Fig 2.9'!A1" display="'Fig 2.9'!A1" xr:uid="{00000000-0004-0000-0000-000032000000}"/>
    <hyperlink ref="A21" location="'Fig 2.10'!A1" display="'Fig 2.10'!A1" xr:uid="{00000000-0004-0000-0000-000033000000}"/>
    <hyperlink ref="A22" location="'Fig 2.11'!A1" display="'Fig 2.11'!A1" xr:uid="{00000000-0004-0000-0000-000034000000}"/>
    <hyperlink ref="A23" location="'Fig 2.12'!A1" display="'Fig 2.12'!A1" xr:uid="{00000000-0004-0000-0000-000035000000}"/>
    <hyperlink ref="A24" location="'Fig 2.13'!A1" display="'Fig 2.13'!A1" xr:uid="{00000000-0004-0000-0000-000036000000}"/>
    <hyperlink ref="A25" location="'Fig 2.14'!A1" display="'Fig 2.14'!A1" xr:uid="{00000000-0004-0000-0000-000037000000}"/>
    <hyperlink ref="A26" location="'Fig 2.15'!A1" display="'Fig 2.15'!A1" xr:uid="{00000000-0004-0000-0000-000038000000}"/>
    <hyperlink ref="A27" location="'Fig 2.16'!A1" display="'Fig 2.16'!A1" xr:uid="{00000000-0004-0000-0000-000039000000}"/>
    <hyperlink ref="A28" location="'Fig 2.17'!A1" display="'Fig 2.17'!A1" xr:uid="{00000000-0004-0000-0000-00003A000000}"/>
    <hyperlink ref="A29" location="'Fig 2.18'!A1" display="'Fig 2.18'!A1" xr:uid="{00000000-0004-0000-0000-00003B000000}"/>
    <hyperlink ref="A30" location="'Fig 2.19'!A1" display="'Fig 2.19'!A1" xr:uid="{00000000-0004-0000-0000-00003C000000}"/>
    <hyperlink ref="A31" location="'Fig 2.20'!A1" display="'Fig 2.20'!A1" xr:uid="{00000000-0004-0000-0000-00003D000000}"/>
    <hyperlink ref="A32" location="'Fig 2.21'!A1" display="'Fig 2.21'!A1" xr:uid="{00000000-0004-0000-0000-00003E000000}"/>
    <hyperlink ref="A33" location="'Fig 2.22'!A1" display="'Fig 2.22'!A1" xr:uid="{00000000-0004-0000-0000-00003F000000}"/>
    <hyperlink ref="A34" location="'Fig 2.23'!A1" display="'Fig 2.23'!A1" xr:uid="{00000000-0004-0000-0000-000040000000}"/>
    <hyperlink ref="A35" location="'Fig 2.24'!A1" display="'Fig 2.24'!A1" xr:uid="{00000000-0004-0000-0000-000041000000}"/>
    <hyperlink ref="A36" location="'Fig 2.25'!A1" display="'Fig 2.25'!A1" xr:uid="{00000000-0004-0000-0000-000042000000}"/>
    <hyperlink ref="A37" location="'Fig 2.26'!A1" display="'Fig 2.26'!A1" xr:uid="{00000000-0004-0000-0000-000043000000}"/>
    <hyperlink ref="A38" location="'Fig 2.27'!A1" display="'Fig 2.27'!A1" xr:uid="{00000000-0004-0000-0000-000044000000}"/>
    <hyperlink ref="A39" location="'Fig 2.28'!A1" display="'Fig 2.28'!A1" xr:uid="{00000000-0004-0000-0000-000045000000}"/>
    <hyperlink ref="A40" location="'Fig 2.29'!A1" display="'Fig 2.29'!A1" xr:uid="{00000000-0004-0000-0000-000046000000}"/>
    <hyperlink ref="A41" location="'Fig 2.30'!A1" display="'Fig 2.30'!A1" xr:uid="{00000000-0004-0000-0000-000047000000}"/>
    <hyperlink ref="A42" location="'Fig 2.31'!A1" display="'Fig 2.31'!A1" xr:uid="{00000000-0004-0000-0000-000048000000}"/>
    <hyperlink ref="A43" location="'Fig 2.32'!A1" display="'Fig 2.32'!A1" xr:uid="{00000000-0004-0000-0000-000049000000}"/>
    <hyperlink ref="A44" location="'Fig 2.33'!A1" display="'Fig 2.33'!A1" xr:uid="{00000000-0004-0000-0000-00004A000000}"/>
    <hyperlink ref="A45" location="'Fig 2.34'!A1" display="'Fig 2.34'!A1" xr:uid="{00000000-0004-0000-0000-00004B000000}"/>
    <hyperlink ref="A46" location="'Fig 2.35'!A1" display="'Fig 2.35'!A1" xr:uid="{00000000-0004-0000-0000-00004C000000}"/>
    <hyperlink ref="A47" location="'Fig 2.36'!A1" display="'Fig 2.36'!A1" xr:uid="{00000000-0004-0000-0000-00004D000000}"/>
    <hyperlink ref="A48" location="'Fig 2.37'!A1" display="'Fig 2.37'!A1" xr:uid="{00000000-0004-0000-0000-00004E000000}"/>
    <hyperlink ref="A49" location="'Fig 2.38'!A1" display="'Fig 2.38'!A1" xr:uid="{00000000-0004-0000-0000-00004F000000}"/>
    <hyperlink ref="A50" location="'Fig 2.39'!A1" display="'Fig 2.39'!A1" xr:uid="{00000000-0004-0000-0000-000050000000}"/>
    <hyperlink ref="A51" location="'Fig 2.40'!A1" display="'Fig 2.40'!A1" xr:uid="{00000000-0004-0000-0000-000051000000}"/>
    <hyperlink ref="A52" location="'Fig 2.41'!A1" display="'Fig 2.41'!A1" xr:uid="{00000000-0004-0000-0000-000052000000}"/>
    <hyperlink ref="A53" location="'Fig 2.42'!A1" display="'Fig 2.42'!A1" xr:uid="{00000000-0004-0000-0000-000053000000}"/>
    <hyperlink ref="A54" location="'Fig 2.43'!A1" display="'Fig 2.43'!A1" xr:uid="{00000000-0004-0000-0000-000054000000}"/>
    <hyperlink ref="A55" location="'Fig 2.44'!A1" display="'Fig 2.44'!A1" xr:uid="{00000000-0004-0000-0000-000055000000}"/>
    <hyperlink ref="A56" location="'Fig 2.45'!A1" display="'Fig 2.45'!A1" xr:uid="{00000000-0004-0000-0000-000056000000}"/>
    <hyperlink ref="A58" location="'Fig 3.1'!A1" display="'Fig 3.1'!A1" xr:uid="{00000000-0004-0000-0000-000057000000}"/>
    <hyperlink ref="A59" location="'Fig 3.2'!A1" display="'Fig 3.2'!A1" xr:uid="{00000000-0004-0000-0000-000058000000}"/>
    <hyperlink ref="A60" location="'Fig 3.3'!A1" display="'Fig 3.3'!A1" xr:uid="{00000000-0004-0000-0000-000059000000}"/>
    <hyperlink ref="A61" location="'Fig 3.4'!A1" display="'Fig 3.4'!A1" xr:uid="{00000000-0004-0000-0000-00005A000000}"/>
    <hyperlink ref="A62" location="'Fig 3.5'!A1" display="'Fig 3.5'!A1" xr:uid="{00000000-0004-0000-0000-00005B000000}"/>
    <hyperlink ref="A63" location="'Fig 3.6'!A1" display="'Fig 3.6'!A1" xr:uid="{00000000-0004-0000-0000-00005C000000}"/>
    <hyperlink ref="A64" location="'Fig 3.7'!A1" display="'Fig 3.7'!A1" xr:uid="{00000000-0004-0000-0000-00005D000000}"/>
    <hyperlink ref="A65" location="'Fig 3.8'!A1" display="'Fig 3.8'!A1" xr:uid="{00000000-0004-0000-0000-00005E000000}"/>
    <hyperlink ref="A66" location="'Fig 3.9'!A1" display="'Fig 3.9'!A1" xr:uid="{00000000-0004-0000-0000-00005F000000}"/>
    <hyperlink ref="A67" location="'Fig 3.10'!A1" display="'Fig 3.10'!A1" xr:uid="{00000000-0004-0000-0000-000060000000}"/>
    <hyperlink ref="A68" location="'Fig 3.11'!A1" display="'Fig 3.11'!A1" xr:uid="{00000000-0004-0000-0000-000061000000}"/>
    <hyperlink ref="A69" location="'Fig 3.12'!A1" display="'Fig 3.12'!A1" xr:uid="{00000000-0004-0000-0000-000062000000}"/>
    <hyperlink ref="A70" location="'Fig 3.13'!A1" display="'Fig 3.13'!A1" xr:uid="{00000000-0004-0000-0000-000063000000}"/>
    <hyperlink ref="A71" location="'Fig 3.14'!A1" display="'Fig 3.14'!A1" xr:uid="{00000000-0004-0000-0000-000064000000}"/>
    <hyperlink ref="A72" location="'Fig 3.15'!A1" display="'Fig 3.15'!A1" xr:uid="{00000000-0004-0000-0000-000065000000}"/>
    <hyperlink ref="A73" location="'Fig 3.16'!A1" display="'Fig 3.16'!A1" xr:uid="{00000000-0004-0000-0000-000066000000}"/>
    <hyperlink ref="A74" location="'Fig 3.17'!A1" display="'Fig 3.17'!A1" xr:uid="{00000000-0004-0000-0000-000067000000}"/>
    <hyperlink ref="A75" location="'Fig 3.18'!A1" display="'Fig 3.18'!A1" xr:uid="{00000000-0004-0000-0000-000068000000}"/>
    <hyperlink ref="A76" location="'Fig 3.19'!A1" display="'Fig 3.19'!A1" xr:uid="{00000000-0004-0000-0000-000069000000}"/>
    <hyperlink ref="A77" location="'Fig 3.20'!A1" display="'Fig 3.20'!A1" xr:uid="{00000000-0004-0000-0000-00006A000000}"/>
    <hyperlink ref="A78" location="'Fig 3.21'!A1" display="'Fig 3.21'!A1" xr:uid="{00000000-0004-0000-0000-00006B000000}"/>
    <hyperlink ref="A79" location="'Fig 3.22'!A1" display="'Fig 3.22'!A1" xr:uid="{00000000-0004-0000-0000-00006C000000}"/>
    <hyperlink ref="A80" location="'Fig 3.23'!A1" display="'Fig 3.23'!A1" xr:uid="{00000000-0004-0000-0000-00006D000000}"/>
    <hyperlink ref="A81" location="'Fig 3.24'!A1" display="'Fig 3.24'!A1" xr:uid="{00000000-0004-0000-0000-00006E000000}"/>
    <hyperlink ref="A82" location="'Fig 3.25'!A1" display="'Fig 3.25'!A1" xr:uid="{00000000-0004-0000-0000-00006F000000}"/>
    <hyperlink ref="A83" location="'Fig 3.26'!A1" display="'Fig 3.26'!A1" xr:uid="{00000000-0004-0000-0000-000070000000}"/>
    <hyperlink ref="A84" location="'Fig 3.27'!A1" display="'Fig 3.27'!A1" xr:uid="{00000000-0004-0000-0000-000071000000}"/>
    <hyperlink ref="A85" location="'Fig 3.28'!A1" display="'Fig 3.28'!A1" xr:uid="{00000000-0004-0000-0000-000072000000}"/>
    <hyperlink ref="A86" location="'Fig 3.29'!A1" display="'Fig 3.29'!A1" xr:uid="{00000000-0004-0000-0000-000073000000}"/>
    <hyperlink ref="A87" location="'Fig 3.30'!A1" display="'Fig 3.30'!A1" xr:uid="{00000000-0004-0000-0000-000074000000}"/>
    <hyperlink ref="A88" location="'Fig 3.31'!A1" display="'Fig 3.31'!A1" xr:uid="{00000000-0004-0000-0000-000075000000}"/>
    <hyperlink ref="A89" location="'Fig 3.32'!A1" display="'Fig 3.32'!A1" xr:uid="{00000000-0004-0000-0000-000076000000}"/>
    <hyperlink ref="A90" location="'Fig 3.33'!A1" display="'Fig 3.33'!A1" xr:uid="{00000000-0004-0000-0000-000077000000}"/>
    <hyperlink ref="A91" location="'Fig 3.34'!A1" display="'Fig 3.34'!A1" xr:uid="{00000000-0004-0000-0000-000078000000}"/>
    <hyperlink ref="A92" location="'Fig 3.35'!A1" display="'Fig 3.35'!A1" xr:uid="{00000000-0004-0000-0000-000079000000}"/>
    <hyperlink ref="A93" location="'Fig 3.36'!A1" display="'Fig 3.36'!A1" xr:uid="{00000000-0004-0000-0000-00007A000000}"/>
    <hyperlink ref="A94" location="'Fig 3.37'!A1" display="'Fig 3.37'!A1" xr:uid="{00000000-0004-0000-0000-00007B000000}"/>
    <hyperlink ref="A95" location="'Fig 3.38'!A1" display="'Fig 3.38'!A1" xr:uid="{00000000-0004-0000-0000-00007C000000}"/>
    <hyperlink ref="A96" location="'Fig 3.39'!A1" display="'Fig 3.39'!A1" xr:uid="{00000000-0004-0000-0000-00007D000000}"/>
    <hyperlink ref="A97" location="'Fig 3.40'!A1" display="'Fig 3.40'!A1" xr:uid="{00000000-0004-0000-0000-00007E000000}"/>
    <hyperlink ref="A98" location="'Fig 3.41'!A1" display="'Fig 3.41'!A1" xr:uid="{00000000-0004-0000-0000-00007F000000}"/>
    <hyperlink ref="A99" location="'Fig 3.42'!A1" display="'Fig 3.42'!A1" xr:uid="{00000000-0004-0000-0000-000080000000}"/>
    <hyperlink ref="A100" location="'Fig 3.43'!A1" display="'Fig 3.43'!A1" xr:uid="{00000000-0004-0000-0000-000081000000}"/>
    <hyperlink ref="A101" location="'Fig 3.44'!A1" display="'Fig 3.44'!A1" xr:uid="{00000000-0004-0000-0000-000082000000}"/>
    <hyperlink ref="A102" location="'Fig 3.45'!A1" display="'Fig 3.45'!A1" xr:uid="{00000000-0004-0000-0000-000083000000}"/>
    <hyperlink ref="A103" location="'Fig 3.46'!A1" display="'Fig 3.46'!A1" xr:uid="{00000000-0004-0000-0000-000084000000}"/>
    <hyperlink ref="A104" location="'Fig 3.47'!A1" display="'Fig 3.47'!A1" xr:uid="{00000000-0004-0000-0000-000085000000}"/>
    <hyperlink ref="A105" location="'Fig 3.48'!A1" display="'Fig 3.48'!A1" xr:uid="{00000000-0004-0000-0000-000086000000}"/>
    <hyperlink ref="A106" location="'Fig 3.49'!A1" display="'Fig 3.49'!A1" xr:uid="{00000000-0004-0000-0000-000087000000}"/>
    <hyperlink ref="A107" location="'Fig 3.50'!A1" display="'Fig 3.50'!A1" xr:uid="{00000000-0004-0000-0000-000088000000}"/>
    <hyperlink ref="A108" location="'Fig 3.51'!A1" display="'Fig 3.51'!A1" xr:uid="{00000000-0004-0000-0000-000089000000}"/>
    <hyperlink ref="A109" location="'Fig 3.52'!A1" display="'Fig 3.52'!A1" xr:uid="{00000000-0004-0000-0000-00008A000000}"/>
    <hyperlink ref="A110" location="'Fig 3.53'!A1" display="'Fig 3.53'!A1" xr:uid="{00000000-0004-0000-0000-00008B000000}"/>
    <hyperlink ref="A111" location="'Fig 3.54'!A1" display="'Fig 3.54'!A1" xr:uid="{00000000-0004-0000-0000-00008C000000}"/>
    <hyperlink ref="A112" location="'Fig 3.55'!A1" display="'Fig 3.55'!A1" xr:uid="{00000000-0004-0000-0000-00008D000000}"/>
    <hyperlink ref="A113" location="'Fig 3.56'!A1" display="'Fig 3.56'!A1" xr:uid="{00000000-0004-0000-0000-00008E000000}"/>
    <hyperlink ref="A114" location="'Fig 3.57'!A1" display="'Fig 3.57'!A1" xr:uid="{00000000-0004-0000-0000-00008F000000}"/>
    <hyperlink ref="A115" location="'Fig 3.58'!A1" display="'Fig 3.58'!A1" xr:uid="{00000000-0004-0000-0000-000090000000}"/>
    <hyperlink ref="A116" location="'Fig 3.59'!A1" display="'Fig 3.59'!A1" xr:uid="{00000000-0004-0000-0000-000091000000}"/>
    <hyperlink ref="A117" location="'Fig 3.60'!A1" display="'Fig 3.60'!A1" xr:uid="{00000000-0004-0000-0000-000092000000}"/>
    <hyperlink ref="A118" location="'Fig 3.61'!A1" display="'Fig 3.61'!A1" xr:uid="{00000000-0004-0000-0000-000093000000}"/>
    <hyperlink ref="A119" location="'Fig 3.62'!A1" display="'Fig 3.62'!A1" xr:uid="{00000000-0004-0000-0000-000094000000}"/>
    <hyperlink ref="A121" location="'Fig 4.1'!A1" display="'Fig 4.1'!A1" xr:uid="{00000000-0004-0000-0000-000095000000}"/>
    <hyperlink ref="A122" location="'Fig 4.2'!A1" display="'Fig 4.2'!A1" xr:uid="{00000000-0004-0000-0000-000096000000}"/>
    <hyperlink ref="A123" location="'Fig 4.3'!A1" display="'Fig 4.3'!A1" xr:uid="{00000000-0004-0000-0000-000097000000}"/>
    <hyperlink ref="A124" location="'Fig 4.4'!A1" display="'Fig 4.4'!A1" xr:uid="{00000000-0004-0000-0000-000098000000}"/>
    <hyperlink ref="A125" location="'Fig 4.5'!A1" display="'Fig 4.5'!A1" xr:uid="{00000000-0004-0000-0000-000099000000}"/>
    <hyperlink ref="A126" location="'Fig 4.6'!A1" display="'Fig 4.6'!A1" xr:uid="{00000000-0004-0000-0000-00009A000000}"/>
    <hyperlink ref="A127" location="'Fig 4.7'!A1" display="'Fig 4.7'!A1" xr:uid="{00000000-0004-0000-0000-00009B000000}"/>
    <hyperlink ref="A128" location="'Fig 4.8'!A1" display="'Fig 4.8'!A1" xr:uid="{00000000-0004-0000-0000-00009C000000}"/>
    <hyperlink ref="A129" location="'Fig 4.9'!A1" display="'Fig 4.9'!A1" xr:uid="{00000000-0004-0000-0000-00009D000000}"/>
    <hyperlink ref="A130" location="'Fig 4.10'!A1" display="'Fig 4.10'!A1" xr:uid="{00000000-0004-0000-0000-00009E000000}"/>
    <hyperlink ref="A131" location="'Fig 4.11'!A1" display="'Fig 4.11'!A1" xr:uid="{00000000-0004-0000-0000-00009F000000}"/>
    <hyperlink ref="A132" location="'Fig 4.12'!A1" display="'Fig 4.12'!A1" xr:uid="{00000000-0004-0000-0000-0000A0000000}"/>
    <hyperlink ref="A133" location="'Fig 4.13'!A1" display="'Fig 4.13'!A1" xr:uid="{00000000-0004-0000-0000-0000A1000000}"/>
    <hyperlink ref="A134" location="'Fig 4.14'!A1" display="'Fig 4.14'!A1" xr:uid="{00000000-0004-0000-0000-0000A2000000}"/>
    <hyperlink ref="A135" location="'Fig 4.15'!A1" display="'Fig 4.15'!A1" xr:uid="{00000000-0004-0000-0000-0000A3000000}"/>
    <hyperlink ref="A136" location="'Fig 4.16'!A1" display="'Fig 4.16'!A1" xr:uid="{00000000-0004-0000-0000-0000A4000000}"/>
    <hyperlink ref="A138" location="'Fig 5.1'!A1" display="'Fig 5.1'!A1" xr:uid="{00000000-0004-0000-0000-0000A5000000}"/>
    <hyperlink ref="A139" location="'Fig 5.2'!A1" display="'Fig 5.2'!A1" xr:uid="{00000000-0004-0000-0000-0000A6000000}"/>
    <hyperlink ref="A140" location="'Fig 5.3'!A1" display="'Fig 5.3'!A1" xr:uid="{00000000-0004-0000-0000-0000A7000000}"/>
    <hyperlink ref="A141" location="'Fig 5.4'!A1" display="'Fig 5.4'!A1" xr:uid="{00000000-0004-0000-0000-0000A8000000}"/>
    <hyperlink ref="A142" location="'Fig 5.5'!A1" display="'Fig 5.5'!A1" xr:uid="{00000000-0004-0000-0000-0000A9000000}"/>
    <hyperlink ref="A143" location="'Fig 5.6'!A1" display="'Fig 5.6'!A1" xr:uid="{00000000-0004-0000-0000-0000AA000000}"/>
    <hyperlink ref="A144" location="'Fig 5.7'!A1" display="'Fig 5.7'!A1" xr:uid="{00000000-0004-0000-0000-0000AB000000}"/>
    <hyperlink ref="A145" location="'Fig 5.8'!A1" display="'Fig 5.8'!A1" xr:uid="{00000000-0004-0000-0000-0000AC000000}"/>
    <hyperlink ref="A146" location="'Fig 5.9'!A1" display="'Fig 5.9'!A1" xr:uid="{00000000-0004-0000-0000-0000AD000000}"/>
    <hyperlink ref="A147" location="'Fig 5.10'!A1" display="'Fig 5.10'!A1" xr:uid="{00000000-0004-0000-0000-0000AE000000}"/>
    <hyperlink ref="A148" location="'Fig 5.11'!A1" display="'Fig 5.11'!A1" xr:uid="{00000000-0004-0000-0000-0000AF000000}"/>
    <hyperlink ref="A149" location="'Fig 5.12'!A1" display="'Fig 5.12'!A1" xr:uid="{00000000-0004-0000-0000-0000B0000000}"/>
    <hyperlink ref="A150" location="'Fig 5.13'!A1" display="'Fig 5.13'!A1" xr:uid="{00000000-0004-0000-0000-0000B1000000}"/>
    <hyperlink ref="A151" location="'Fig 5.14'!A1" display="'Fig 5.14'!A1" xr:uid="{00000000-0004-0000-0000-0000B2000000}"/>
    <hyperlink ref="A152" location="'Fig 5.15'!A1" display="'Fig 5.15'!A1" xr:uid="{00000000-0004-0000-0000-0000B3000000}"/>
    <hyperlink ref="A153" location="'Fig 5.16'!A1" display="'Fig 5.16'!A1" xr:uid="{00000000-0004-0000-0000-0000B4000000}"/>
    <hyperlink ref="A155" location="'Fig 6.1'!A1" display="'Fig 6.1'!A1" xr:uid="{00000000-0004-0000-0000-0000B5000000}"/>
    <hyperlink ref="A191" location="'Fig 7.1'!A1" display="'Fig 7.1'!A1" xr:uid="{00000000-0004-0000-0000-0000B6000000}"/>
    <hyperlink ref="A192" location="'Fig 7.2'!A1" display="'Fig 7.2'!A1" xr:uid="{00000000-0004-0000-0000-0000B7000000}"/>
    <hyperlink ref="A193" location="'Fig 7.3'!A1" display="'Fig 7.3'!A1" xr:uid="{00000000-0004-0000-0000-0000B8000000}"/>
    <hyperlink ref="A194" location="'Fig 7.4'!A1" display="'Fig 7.4'!A1" xr:uid="{00000000-0004-0000-0000-0000B9000000}"/>
    <hyperlink ref="A195" location="'Fig 7.5'!A1" display="'Fig 7.5'!A1" xr:uid="{00000000-0004-0000-0000-0000BA000000}"/>
    <hyperlink ref="A196" location="'Fig 7.6'!A1" display="'Fig 7.6'!A1" xr:uid="{00000000-0004-0000-0000-0000BB000000}"/>
    <hyperlink ref="A197" location="'Fig 7.7'!A1" display="'Fig 7.7'!A1" xr:uid="{00000000-0004-0000-0000-0000BC000000}"/>
    <hyperlink ref="A198" location="'Fig 7.8'!A1" display="'Fig 7.8'!A1" xr:uid="{00000000-0004-0000-0000-0000BD000000}"/>
    <hyperlink ref="A199" location="'Fig 7.9'!A1" display="'Fig 7.9'!A1" xr:uid="{00000000-0004-0000-0000-0000BE000000}"/>
    <hyperlink ref="A200" location="'Fig 7.10'!A1" display="'Fig 7.10'!A1" xr:uid="{00000000-0004-0000-0000-0000BF000000}"/>
    <hyperlink ref="A201" location="'Fig 7.11'!A1" display="'Fig 7.11'!A1" xr:uid="{00000000-0004-0000-0000-0000C0000000}"/>
    <hyperlink ref="A202" location="'Fig 7.12'!A1" display="'Fig 7.12'!A1" xr:uid="{00000000-0004-0000-0000-0000C1000000}"/>
    <hyperlink ref="A203" location="'Fig 7.13'!A1" display="'Fig 7.13'!A1" xr:uid="{00000000-0004-0000-0000-0000C2000000}"/>
    <hyperlink ref="A204" location="'Fig 7.14'!A1" display="'Fig 7.14'!A1" xr:uid="{00000000-0004-0000-0000-0000C3000000}"/>
    <hyperlink ref="A205" location="'Fig 7.15'!A1" display="'Fig 7.15'!A1" xr:uid="{00000000-0004-0000-0000-0000C4000000}"/>
    <hyperlink ref="A206" location="'Fig 7.16'!A1" display="'Fig 7.16'!A1" xr:uid="{00000000-0004-0000-0000-0000C5000000}"/>
    <hyperlink ref="A207" location="'Fig 7.17'!A1" display="'Fig 7.17'!A1" xr:uid="{00000000-0004-0000-0000-0000C6000000}"/>
    <hyperlink ref="A208" location="'Fig 7.18'!A1" display="'Fig 7.18'!A1" xr:uid="{00000000-0004-0000-0000-0000C7000000}"/>
    <hyperlink ref="A209" location="'Fig 7.19'!A1" display="'Fig 7.19'!A1" xr:uid="{00000000-0004-0000-0000-0000C8000000}"/>
    <hyperlink ref="A210" location="'Fig 7.20'!A1" display="'Fig 7.20'!A1" xr:uid="{00000000-0004-0000-0000-0000C9000000}"/>
    <hyperlink ref="A211" location="'Fig 7.21'!A1" display="'Fig 7.21'!A1" xr:uid="{00000000-0004-0000-0000-0000CA000000}"/>
    <hyperlink ref="A212" location="'Fig 7.22'!A1" display="'Fig 7.22'!A1" xr:uid="{00000000-0004-0000-0000-0000CB000000}"/>
    <hyperlink ref="A213" location="'Fig 7.23'!A1" display="'Fig 7.23'!A1" xr:uid="{00000000-0004-0000-0000-0000CC000000}"/>
    <hyperlink ref="A214" location="'Fig 7.24'!A1" display="'Fig 7.24'!A1" xr:uid="{00000000-0004-0000-0000-0000CD000000}"/>
    <hyperlink ref="A215" location="'Fig 7.25'!A1" display="'Fig 7.25'!A1" xr:uid="{00000000-0004-0000-0000-0000CE000000}"/>
    <hyperlink ref="A216" location="'Fig 7.26'!A1" display="'Fig 7.26'!A1" xr:uid="{00000000-0004-0000-0000-0000CF000000}"/>
    <hyperlink ref="A217" location="'Fig 7.27'!A1" display="'Fig 7.27'!A1" xr:uid="{00000000-0004-0000-0000-0000D0000000}"/>
    <hyperlink ref="A218" location="'Fig 7.28'!A1" display="'Fig 7.28'!A1" xr:uid="{00000000-0004-0000-0000-0000D1000000}"/>
    <hyperlink ref="A219" location="'Fig 7.29'!A1" display="'Fig 7.29'!A1" xr:uid="{00000000-0004-0000-0000-0000D2000000}"/>
    <hyperlink ref="A220" location="'Fig 7.30'!A1" display="'Fig 7.30'!A1" xr:uid="{00000000-0004-0000-0000-0000D3000000}"/>
    <hyperlink ref="A221" location="'Fig 7.31'!A1" display="'Fig 7.31'!A1" xr:uid="{00000000-0004-0000-0000-0000D4000000}"/>
    <hyperlink ref="A222" location="'Fig 7.32'!A1" display="'Fig 7.32'!A1" xr:uid="{00000000-0004-0000-0000-0000D5000000}"/>
    <hyperlink ref="A223" location="'Fig 7.33'!A1" display="'Fig 7.33'!A1" xr:uid="{00000000-0004-0000-0000-0000D6000000}"/>
    <hyperlink ref="A224" location="'Fig 7.34'!A1" display="'Fig 7.34'!A1" xr:uid="{00000000-0004-0000-0000-0000D7000000}"/>
    <hyperlink ref="A225" location="'Fig 7.35'!A1" display="'Fig 7.35'!A1" xr:uid="{00000000-0004-0000-0000-0000D8000000}"/>
    <hyperlink ref="A226" location="'Fig 7.36'!A1" display="'Fig 7.36'!A1" xr:uid="{00000000-0004-0000-0000-0000D9000000}"/>
    <hyperlink ref="A227" location="'Fig 7.37'!A1" display="'Fig 7.37'!A1" xr:uid="{00000000-0004-0000-0000-0000DA000000}"/>
    <hyperlink ref="A228" location="'Fig 7.38'!A1" display="'Fig 7.38'!A1" xr:uid="{00000000-0004-0000-0000-0000DB000000}"/>
    <hyperlink ref="A229" location="'Fig 7.39'!A1" display="'Fig 7.39'!A1" xr:uid="{00000000-0004-0000-0000-0000DC000000}"/>
    <hyperlink ref="A230" location="'Fig 7.40'!A1" display="'Fig 7.40'!A1" xr:uid="{00000000-0004-0000-0000-0000DD000000}"/>
    <hyperlink ref="A231" location="'Fig 7.41'!A1" display="'Fig 7.41'!A1" xr:uid="{00000000-0004-0000-0000-0000DE000000}"/>
    <hyperlink ref="A232" location="'Fig 7.42'!A1" display="'Fig 7.42'!A1" xr:uid="{00000000-0004-0000-0000-0000DF000000}"/>
    <hyperlink ref="A233" location="'Fig 7.43'!A1" display="'Fig 7.43'!A1" xr:uid="{00000000-0004-0000-0000-0000E0000000}"/>
    <hyperlink ref="A234" location="'Fig 7.44'!A1" display="'Fig 7.44'!A1" xr:uid="{00000000-0004-0000-0000-0000E1000000}"/>
    <hyperlink ref="A235" location="'Fig 7.45'!A1" display="'Fig 7.45'!A1" xr:uid="{00000000-0004-0000-0000-0000E2000000}"/>
    <hyperlink ref="A183" location="'Fig 6.29'!A1" display="'Fig 6.29'!A1" xr:uid="{00000000-0004-0000-0000-0000E3000000}"/>
    <hyperlink ref="A184" location="'Fig 6.30'!A1" display="'Fig 6.30'!A1" xr:uid="{00000000-0004-0000-0000-0000E4000000}"/>
    <hyperlink ref="A185" location="'Fig 6.31'!A1" display="'Fig 6.31'!A1" xr:uid="{00000000-0004-0000-0000-0000E5000000}"/>
    <hyperlink ref="A7" location="'Fig 1.4'!A1" display="'Fig 1.4'!A1" xr:uid="{00000000-0004-0000-0000-0000E6000000}"/>
    <hyperlink ref="A6" location="'Fig 1.3'!A1" display="'Fig 1.3'!A1" xr:uid="{00000000-0004-0000-0000-0000E7000000}"/>
    <hyperlink ref="A5" location="'Fig 1.2'!A1" display="'Fig 1.2'!A1" xr:uid="{00000000-0004-0000-0000-0000E8000000}"/>
    <hyperlink ref="A4" location="'Fig 1.1'!A1" display="'Fig 1.1'!A1" xr:uid="{00000000-0004-0000-0000-0000E9000000}"/>
    <hyperlink ref="A4:A7" location="'Fig 2.1'!A1" display="'Fig 2.1'!A1" xr:uid="{00000000-0004-0000-0000-0000EA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55"/>
  <dimension ref="A1:H18"/>
  <sheetViews>
    <sheetView showGridLines="0" workbookViewId="0">
      <selection activeCell="A4" sqref="A4:G17"/>
    </sheetView>
  </sheetViews>
  <sheetFormatPr defaultRowHeight="15" x14ac:dyDescent="0.25"/>
  <cols>
    <col min="1" max="1" width="18.28515625" bestFit="1" customWidth="1"/>
    <col min="2" max="5" width="14.42578125" customWidth="1"/>
    <col min="6" max="6" width="12.28515625" customWidth="1"/>
  </cols>
  <sheetData>
    <row r="1" spans="1:8" x14ac:dyDescent="0.25">
      <c r="D1" s="78"/>
      <c r="E1" s="78"/>
      <c r="G1" s="78" t="s">
        <v>247</v>
      </c>
      <c r="H1" s="78" t="s">
        <v>733</v>
      </c>
    </row>
    <row r="3" spans="1:8" x14ac:dyDescent="0.25">
      <c r="A3" s="350" t="str">
        <f>"Tabela "&amp;RIGHT(G1,3)</f>
        <v>Tabela 2.2</v>
      </c>
      <c r="B3" s="350"/>
      <c r="C3" s="350"/>
      <c r="D3" s="350"/>
      <c r="E3" s="350"/>
      <c r="F3" s="350"/>
      <c r="G3" s="350"/>
    </row>
    <row r="4" spans="1:8" ht="18" customHeight="1" x14ac:dyDescent="0.25">
      <c r="A4" s="352" t="str">
        <f>H1</f>
        <v>Distribuição de aeronaves por operador e fabricante – empresas aéreas brasileiras, 2017</v>
      </c>
      <c r="B4" s="352"/>
      <c r="C4" s="352"/>
      <c r="D4" s="352"/>
      <c r="E4" s="352"/>
      <c r="F4" s="352"/>
      <c r="G4" s="352"/>
    </row>
    <row r="5" spans="1:8" x14ac:dyDescent="0.25">
      <c r="A5" s="1" t="s">
        <v>7</v>
      </c>
      <c r="B5" s="21" t="s">
        <v>34</v>
      </c>
      <c r="C5" s="21" t="s">
        <v>35</v>
      </c>
      <c r="D5" s="21" t="s">
        <v>338</v>
      </c>
      <c r="E5" s="21" t="s">
        <v>885</v>
      </c>
      <c r="F5" s="185" t="s">
        <v>871</v>
      </c>
      <c r="G5" s="21" t="s">
        <v>42</v>
      </c>
    </row>
    <row r="6" spans="1:8" x14ac:dyDescent="0.25">
      <c r="A6" s="128" t="s">
        <v>526</v>
      </c>
      <c r="B6" s="198">
        <v>119</v>
      </c>
      <c r="C6" s="198">
        <v>0</v>
      </c>
      <c r="D6" s="198">
        <v>37</v>
      </c>
      <c r="E6" s="198">
        <v>0</v>
      </c>
      <c r="F6" s="186">
        <v>0</v>
      </c>
      <c r="G6" s="232">
        <v>156</v>
      </c>
    </row>
    <row r="7" spans="1:8" x14ac:dyDescent="0.25">
      <c r="A7" s="130" t="s">
        <v>60</v>
      </c>
      <c r="B7" s="199">
        <v>27</v>
      </c>
      <c r="C7" s="199">
        <v>36</v>
      </c>
      <c r="D7" s="199">
        <v>2</v>
      </c>
      <c r="E7" s="199">
        <v>63</v>
      </c>
      <c r="F7" s="187">
        <v>0</v>
      </c>
      <c r="G7" s="132">
        <v>128</v>
      </c>
    </row>
    <row r="8" spans="1:8" x14ac:dyDescent="0.25">
      <c r="A8" s="128" t="s">
        <v>59</v>
      </c>
      <c r="B8" s="198">
        <v>0</v>
      </c>
      <c r="C8" s="198">
        <v>0</v>
      </c>
      <c r="D8" s="198">
        <v>121</v>
      </c>
      <c r="E8" s="198">
        <v>0</v>
      </c>
      <c r="F8" s="186">
        <v>0</v>
      </c>
      <c r="G8" s="133">
        <v>121</v>
      </c>
    </row>
    <row r="9" spans="1:8" x14ac:dyDescent="0.25">
      <c r="A9" s="130" t="s">
        <v>61</v>
      </c>
      <c r="B9" s="199">
        <v>47</v>
      </c>
      <c r="C9" s="199">
        <v>0</v>
      </c>
      <c r="D9" s="199">
        <v>0</v>
      </c>
      <c r="E9" s="199">
        <v>0</v>
      </c>
      <c r="F9" s="187">
        <v>0</v>
      </c>
      <c r="G9" s="132">
        <v>47</v>
      </c>
    </row>
    <row r="10" spans="1:8" x14ac:dyDescent="0.25">
      <c r="A10" s="128" t="s">
        <v>414</v>
      </c>
      <c r="B10" s="198">
        <v>0</v>
      </c>
      <c r="C10" s="198">
        <v>0</v>
      </c>
      <c r="D10" s="198">
        <v>15</v>
      </c>
      <c r="E10" s="198">
        <v>0</v>
      </c>
      <c r="F10" s="186">
        <v>0</v>
      </c>
      <c r="G10" s="133">
        <v>15</v>
      </c>
    </row>
    <row r="11" spans="1:8" x14ac:dyDescent="0.25">
      <c r="A11" s="130" t="s">
        <v>818</v>
      </c>
      <c r="B11" s="199">
        <v>0</v>
      </c>
      <c r="C11" s="199">
        <v>0</v>
      </c>
      <c r="D11" s="199">
        <v>0</v>
      </c>
      <c r="E11" s="199">
        <v>0</v>
      </c>
      <c r="F11" s="187">
        <v>10</v>
      </c>
      <c r="G11" s="132">
        <v>10</v>
      </c>
    </row>
    <row r="12" spans="1:8" x14ac:dyDescent="0.25">
      <c r="A12" s="128" t="s">
        <v>394</v>
      </c>
      <c r="B12" s="198">
        <v>0</v>
      </c>
      <c r="C12" s="198">
        <v>5</v>
      </c>
      <c r="D12" s="198">
        <v>0</v>
      </c>
      <c r="E12" s="198">
        <v>0</v>
      </c>
      <c r="F12" s="186">
        <v>0</v>
      </c>
      <c r="G12" s="133">
        <v>5</v>
      </c>
    </row>
    <row r="13" spans="1:8" x14ac:dyDescent="0.25">
      <c r="A13" s="130" t="s">
        <v>62</v>
      </c>
      <c r="B13" s="199">
        <v>0</v>
      </c>
      <c r="C13" s="199">
        <v>5</v>
      </c>
      <c r="D13" s="199">
        <v>0</v>
      </c>
      <c r="E13" s="199">
        <v>0</v>
      </c>
      <c r="F13" s="187">
        <v>0</v>
      </c>
      <c r="G13" s="132">
        <v>5</v>
      </c>
    </row>
    <row r="14" spans="1:8" x14ac:dyDescent="0.25">
      <c r="A14" s="128" t="s">
        <v>102</v>
      </c>
      <c r="B14" s="198">
        <v>0</v>
      </c>
      <c r="C14" s="198">
        <v>0</v>
      </c>
      <c r="D14" s="198">
        <v>4</v>
      </c>
      <c r="E14" s="198">
        <v>0</v>
      </c>
      <c r="F14" s="186">
        <v>0</v>
      </c>
      <c r="G14" s="133">
        <v>4</v>
      </c>
    </row>
    <row r="15" spans="1:8" x14ac:dyDescent="0.25">
      <c r="A15" s="130" t="s">
        <v>721</v>
      </c>
      <c r="B15" s="199">
        <v>0</v>
      </c>
      <c r="C15" s="199">
        <v>0</v>
      </c>
      <c r="D15" s="199">
        <v>4</v>
      </c>
      <c r="E15" s="199">
        <v>0</v>
      </c>
      <c r="F15" s="187">
        <v>0</v>
      </c>
      <c r="G15" s="132">
        <v>4</v>
      </c>
    </row>
    <row r="16" spans="1:8" x14ac:dyDescent="0.25">
      <c r="A16" s="128" t="s">
        <v>399</v>
      </c>
      <c r="B16" s="198">
        <v>0</v>
      </c>
      <c r="C16" s="198">
        <v>1</v>
      </c>
      <c r="D16" s="198">
        <v>3</v>
      </c>
      <c r="E16" s="198">
        <v>0</v>
      </c>
      <c r="F16" s="186">
        <v>0</v>
      </c>
      <c r="G16" s="133">
        <v>4</v>
      </c>
    </row>
    <row r="17" spans="1:7" x14ac:dyDescent="0.25">
      <c r="A17" s="16" t="s">
        <v>42</v>
      </c>
      <c r="B17" s="197">
        <v>193</v>
      </c>
      <c r="C17" s="197">
        <v>47</v>
      </c>
      <c r="D17" s="197">
        <v>186</v>
      </c>
      <c r="E17" s="197">
        <v>63</v>
      </c>
      <c r="F17" s="197">
        <v>10</v>
      </c>
      <c r="G17" s="197">
        <v>499</v>
      </c>
    </row>
    <row r="18" spans="1:7" x14ac:dyDescent="0.25">
      <c r="B18" s="147">
        <f>B17/$F$17</f>
        <v>19.3</v>
      </c>
      <c r="C18" s="147">
        <f>C17/$F$17</f>
        <v>4.7</v>
      </c>
      <c r="D18" s="147">
        <f>D17/$F$17</f>
        <v>18.600000000000001</v>
      </c>
      <c r="E18" s="147">
        <f>E17/$F$17</f>
        <v>6.3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Plan101"/>
  <dimension ref="A1:H27"/>
  <sheetViews>
    <sheetView showGridLines="0" workbookViewId="0">
      <selection activeCell="A5" sqref="A5:C25"/>
    </sheetView>
  </sheetViews>
  <sheetFormatPr defaultRowHeight="15" x14ac:dyDescent="0.25"/>
  <cols>
    <col min="1" max="1" width="16.7109375" bestFit="1" customWidth="1"/>
    <col min="2" max="2" width="16.28515625" customWidth="1"/>
    <col min="3" max="3" width="18.42578125" customWidth="1"/>
  </cols>
  <sheetData>
    <row r="1" spans="1:8" x14ac:dyDescent="0.25">
      <c r="C1" s="78"/>
      <c r="D1" s="78"/>
      <c r="E1" s="78"/>
      <c r="F1" s="78"/>
      <c r="G1" s="78" t="s">
        <v>289</v>
      </c>
      <c r="H1" s="78" t="s">
        <v>1253</v>
      </c>
    </row>
    <row r="3" spans="1:8" x14ac:dyDescent="0.25">
      <c r="A3" s="350" t="str">
        <f>"Tabela Referente à "&amp;G1</f>
        <v>Tabela Referente à Figura 3.43</v>
      </c>
      <c r="B3" s="350"/>
      <c r="C3" s="350"/>
    </row>
    <row r="4" spans="1:8" ht="30" customHeight="1" x14ac:dyDescent="0.25">
      <c r="A4" s="351" t="str">
        <f>H1</f>
        <v>Quantidade de passageiros transportados entre o Brasil e os 20 principais destinos internacionais, 2017 e 2018</v>
      </c>
      <c r="B4" s="351"/>
      <c r="C4" s="351"/>
    </row>
    <row r="5" spans="1:8" x14ac:dyDescent="0.25">
      <c r="A5" s="1" t="s">
        <v>112</v>
      </c>
      <c r="B5" s="1">
        <v>2017</v>
      </c>
      <c r="C5" s="21">
        <v>2018</v>
      </c>
    </row>
    <row r="6" spans="1:8" x14ac:dyDescent="0.25">
      <c r="A6" s="17" t="s">
        <v>465</v>
      </c>
      <c r="B6" s="59">
        <v>4409280</v>
      </c>
      <c r="C6" s="7">
        <v>5000898</v>
      </c>
      <c r="D6" s="114">
        <f>C6/B6-1</f>
        <v>0.13417564772479862</v>
      </c>
    </row>
    <row r="7" spans="1:8" x14ac:dyDescent="0.25">
      <c r="A7" s="18" t="s">
        <v>466</v>
      </c>
      <c r="B7" s="58">
        <v>3822362</v>
      </c>
      <c r="C7" s="8">
        <v>4029197</v>
      </c>
      <c r="D7" s="114">
        <f t="shared" ref="D7:D25" si="0">C7/B7-1</f>
        <v>5.4111829282522228E-2</v>
      </c>
    </row>
    <row r="8" spans="1:8" x14ac:dyDescent="0.25">
      <c r="A8" s="17" t="s">
        <v>468</v>
      </c>
      <c r="B8" s="59">
        <v>1703098</v>
      </c>
      <c r="C8" s="7">
        <v>2075619</v>
      </c>
      <c r="D8" s="114">
        <f t="shared" si="0"/>
        <v>0.21873139420045118</v>
      </c>
    </row>
    <row r="9" spans="1:8" x14ac:dyDescent="0.25">
      <c r="A9" s="18" t="s">
        <v>467</v>
      </c>
      <c r="B9" s="58">
        <v>1746910</v>
      </c>
      <c r="C9" s="8">
        <v>1946623</v>
      </c>
      <c r="D9" s="114">
        <f t="shared" si="0"/>
        <v>0.11432357705892127</v>
      </c>
    </row>
    <row r="10" spans="1:8" x14ac:dyDescent="0.25">
      <c r="A10" s="17" t="s">
        <v>471</v>
      </c>
      <c r="B10" s="59">
        <v>1085230</v>
      </c>
      <c r="C10" s="7">
        <v>1077263</v>
      </c>
      <c r="D10" s="114">
        <f t="shared" si="0"/>
        <v>-7.3413009223851633E-3</v>
      </c>
    </row>
    <row r="11" spans="1:8" x14ac:dyDescent="0.25">
      <c r="A11" s="18" t="s">
        <v>469</v>
      </c>
      <c r="B11" s="58">
        <v>933848</v>
      </c>
      <c r="C11" s="8">
        <v>1051451</v>
      </c>
      <c r="D11" s="114">
        <f t="shared" si="0"/>
        <v>0.1259337708063839</v>
      </c>
    </row>
    <row r="12" spans="1:8" x14ac:dyDescent="0.25">
      <c r="A12" s="17" t="s">
        <v>470</v>
      </c>
      <c r="B12" s="59">
        <v>835431</v>
      </c>
      <c r="C12" s="7">
        <v>947831</v>
      </c>
      <c r="D12" s="114">
        <f t="shared" si="0"/>
        <v>0.13454133255768586</v>
      </c>
    </row>
    <row r="13" spans="1:8" x14ac:dyDescent="0.25">
      <c r="A13" s="18" t="s">
        <v>473</v>
      </c>
      <c r="B13" s="58">
        <v>710051</v>
      </c>
      <c r="C13" s="8">
        <v>767674</v>
      </c>
      <c r="D13" s="114">
        <f t="shared" si="0"/>
        <v>8.1153325606188931E-2</v>
      </c>
    </row>
    <row r="14" spans="1:8" x14ac:dyDescent="0.25">
      <c r="A14" s="17" t="s">
        <v>472</v>
      </c>
      <c r="B14" s="59">
        <v>777233</v>
      </c>
      <c r="C14" s="7">
        <v>747519</v>
      </c>
      <c r="D14" s="114">
        <f t="shared" si="0"/>
        <v>-3.8230492014621142E-2</v>
      </c>
    </row>
    <row r="15" spans="1:8" x14ac:dyDescent="0.25">
      <c r="A15" s="18" t="s">
        <v>476</v>
      </c>
      <c r="B15" s="58">
        <v>498442</v>
      </c>
      <c r="C15" s="8">
        <v>708249</v>
      </c>
      <c r="D15" s="114">
        <f t="shared" si="0"/>
        <v>0.42092560418263303</v>
      </c>
    </row>
    <row r="16" spans="1:8" x14ac:dyDescent="0.25">
      <c r="A16" s="17" t="s">
        <v>474</v>
      </c>
      <c r="B16" s="59">
        <v>705488</v>
      </c>
      <c r="C16" s="7">
        <v>677806</v>
      </c>
      <c r="D16" s="114">
        <f t="shared" si="0"/>
        <v>-3.9238087678316269E-2</v>
      </c>
    </row>
    <row r="17" spans="1:4" x14ac:dyDescent="0.25">
      <c r="A17" s="18" t="s">
        <v>477</v>
      </c>
      <c r="B17" s="58">
        <v>622523</v>
      </c>
      <c r="C17" s="8">
        <v>668022</v>
      </c>
      <c r="D17" s="114">
        <f t="shared" si="0"/>
        <v>7.3088062609734994E-2</v>
      </c>
    </row>
    <row r="18" spans="1:4" x14ac:dyDescent="0.25">
      <c r="A18" s="17" t="s">
        <v>475</v>
      </c>
      <c r="B18" s="59">
        <v>497852</v>
      </c>
      <c r="C18" s="7">
        <v>557772</v>
      </c>
      <c r="D18" s="114">
        <f t="shared" si="0"/>
        <v>0.12035705390356966</v>
      </c>
    </row>
    <row r="19" spans="1:4" x14ac:dyDescent="0.25">
      <c r="A19" s="18" t="s">
        <v>479</v>
      </c>
      <c r="B19" s="58">
        <v>414910</v>
      </c>
      <c r="C19" s="8">
        <v>487960</v>
      </c>
      <c r="D19" s="114">
        <f t="shared" si="0"/>
        <v>0.17606227856643608</v>
      </c>
    </row>
    <row r="20" spans="1:4" x14ac:dyDescent="0.25">
      <c r="A20" s="17" t="s">
        <v>478</v>
      </c>
      <c r="B20" s="59">
        <v>416490</v>
      </c>
      <c r="C20" s="7">
        <v>373188</v>
      </c>
      <c r="D20" s="114">
        <f t="shared" si="0"/>
        <v>-0.10396888280630989</v>
      </c>
    </row>
    <row r="21" spans="1:4" x14ac:dyDescent="0.25">
      <c r="A21" s="18" t="s">
        <v>481</v>
      </c>
      <c r="B21" s="58">
        <v>322355</v>
      </c>
      <c r="C21" s="8">
        <v>325907</v>
      </c>
      <c r="D21" s="114">
        <f t="shared" si="0"/>
        <v>1.1018907725954374E-2</v>
      </c>
    </row>
    <row r="22" spans="1:4" x14ac:dyDescent="0.25">
      <c r="A22" s="17" t="s">
        <v>480</v>
      </c>
      <c r="B22" s="59">
        <v>310517</v>
      </c>
      <c r="C22" s="7">
        <v>321302</v>
      </c>
      <c r="D22" s="114">
        <f t="shared" si="0"/>
        <v>3.4732397904140511E-2</v>
      </c>
    </row>
    <row r="23" spans="1:4" x14ac:dyDescent="0.25">
      <c r="A23" s="18" t="s">
        <v>522</v>
      </c>
      <c r="B23" s="58">
        <v>203539</v>
      </c>
      <c r="C23" s="8">
        <v>264515</v>
      </c>
      <c r="D23" s="114">
        <f t="shared" si="0"/>
        <v>0.29957895047140837</v>
      </c>
    </row>
    <row r="24" spans="1:4" x14ac:dyDescent="0.25">
      <c r="A24" s="17" t="s">
        <v>567</v>
      </c>
      <c r="B24" s="59">
        <v>226683</v>
      </c>
      <c r="C24" s="7">
        <v>229683</v>
      </c>
      <c r="D24" s="114">
        <f t="shared" si="0"/>
        <v>1.3234340466642847E-2</v>
      </c>
    </row>
    <row r="25" spans="1:4" x14ac:dyDescent="0.25">
      <c r="A25" s="18" t="s">
        <v>840</v>
      </c>
      <c r="B25" s="58">
        <v>193096</v>
      </c>
      <c r="C25" s="8">
        <v>222029</v>
      </c>
      <c r="D25" s="114">
        <f t="shared" si="0"/>
        <v>0.14983738658491119</v>
      </c>
    </row>
    <row r="26" spans="1:4" x14ac:dyDescent="0.25">
      <c r="A26" s="1"/>
      <c r="B26" s="1"/>
      <c r="C26" s="21"/>
    </row>
    <row r="27" spans="1:4" x14ac:dyDescent="0.25">
      <c r="A27" t="s">
        <v>544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Plan102"/>
  <dimension ref="A1:H17"/>
  <sheetViews>
    <sheetView showGridLines="0" workbookViewId="0">
      <selection activeCell="A5" sqref="A5:B15"/>
    </sheetView>
  </sheetViews>
  <sheetFormatPr defaultRowHeight="15" x14ac:dyDescent="0.25"/>
  <cols>
    <col min="1" max="1" width="10.140625" customWidth="1"/>
    <col min="2" max="2" width="47.7109375" bestFit="1" customWidth="1"/>
  </cols>
  <sheetData>
    <row r="1" spans="1:8" x14ac:dyDescent="0.25">
      <c r="C1" s="78"/>
      <c r="D1" s="78"/>
      <c r="E1" s="78"/>
      <c r="F1" s="78"/>
      <c r="G1" s="78" t="s">
        <v>290</v>
      </c>
      <c r="H1" s="78" t="s">
        <v>1254</v>
      </c>
    </row>
    <row r="3" spans="1:8" x14ac:dyDescent="0.25">
      <c r="A3" s="350" t="str">
        <f>"Tabela Referente à "&amp;G1</f>
        <v>Tabela Referente à Figura 3.44</v>
      </c>
      <c r="B3" s="350"/>
    </row>
    <row r="4" spans="1:8" ht="17.25" customHeight="1" x14ac:dyDescent="0.25">
      <c r="A4" s="351" t="str">
        <f>H1</f>
        <v>Evolução do RPK – mercado internacional, 2009 a 2018</v>
      </c>
      <c r="B4" s="351"/>
    </row>
    <row r="5" spans="1:8" x14ac:dyDescent="0.25">
      <c r="A5" s="1" t="s">
        <v>20</v>
      </c>
      <c r="B5" s="21" t="s">
        <v>230</v>
      </c>
      <c r="C5" s="78"/>
      <c r="D5" s="78"/>
    </row>
    <row r="6" spans="1:8" x14ac:dyDescent="0.25">
      <c r="A6" s="17">
        <v>2009</v>
      </c>
      <c r="B6" s="7">
        <v>76019794226</v>
      </c>
      <c r="C6" s="78"/>
      <c r="D6" s="78"/>
    </row>
    <row r="7" spans="1:8" x14ac:dyDescent="0.25">
      <c r="A7" s="18">
        <v>2010</v>
      </c>
      <c r="B7" s="8">
        <v>92093443332</v>
      </c>
      <c r="C7" s="114">
        <f t="shared" ref="C7:C14" si="0">B7/B6-1</f>
        <v>0.21144031327175772</v>
      </c>
      <c r="D7" s="78"/>
    </row>
    <row r="8" spans="1:8" x14ac:dyDescent="0.25">
      <c r="A8" s="17">
        <v>2011</v>
      </c>
      <c r="B8" s="7">
        <v>105458573201</v>
      </c>
      <c r="C8" s="114">
        <f t="shared" si="0"/>
        <v>0.14512574821226143</v>
      </c>
      <c r="D8" s="78"/>
    </row>
    <row r="9" spans="1:8" x14ac:dyDescent="0.25">
      <c r="A9" s="18">
        <v>2012</v>
      </c>
      <c r="B9" s="8">
        <v>115039217850</v>
      </c>
      <c r="C9" s="114">
        <f t="shared" si="0"/>
        <v>9.084747079537725E-2</v>
      </c>
      <c r="D9" s="78"/>
    </row>
    <row r="10" spans="1:8" x14ac:dyDescent="0.25">
      <c r="A10" s="17">
        <v>2013</v>
      </c>
      <c r="B10" s="7">
        <v>120157838541</v>
      </c>
      <c r="C10" s="114">
        <f t="shared" si="0"/>
        <v>4.4494571387595716E-2</v>
      </c>
      <c r="D10" s="78"/>
    </row>
    <row r="11" spans="1:8" x14ac:dyDescent="0.25">
      <c r="A11" s="18">
        <v>2014</v>
      </c>
      <c r="B11" s="8">
        <v>130228192384</v>
      </c>
      <c r="C11" s="114">
        <f t="shared" si="0"/>
        <v>8.3809379107329773E-2</v>
      </c>
      <c r="D11" s="78"/>
    </row>
    <row r="12" spans="1:8" x14ac:dyDescent="0.25">
      <c r="A12" s="17">
        <v>2015</v>
      </c>
      <c r="B12" s="7">
        <v>131300589271</v>
      </c>
      <c r="C12" s="114">
        <f t="shared" si="0"/>
        <v>8.2347521482741826E-3</v>
      </c>
      <c r="D12" s="78"/>
    </row>
    <row r="13" spans="1:8" x14ac:dyDescent="0.25">
      <c r="A13" s="18">
        <v>2016</v>
      </c>
      <c r="B13" s="8">
        <v>126534846080</v>
      </c>
      <c r="C13" s="114">
        <f t="shared" si="0"/>
        <v>-3.629643413986261E-2</v>
      </c>
      <c r="D13" s="78"/>
    </row>
    <row r="14" spans="1:8" x14ac:dyDescent="0.25">
      <c r="A14" s="17">
        <v>2017</v>
      </c>
      <c r="B14" s="7">
        <v>129067597919</v>
      </c>
      <c r="C14" s="114">
        <f t="shared" si="0"/>
        <v>2.0016239932822089E-2</v>
      </c>
      <c r="D14" s="78"/>
    </row>
    <row r="15" spans="1:8" x14ac:dyDescent="0.25">
      <c r="A15" s="18">
        <v>2018</v>
      </c>
      <c r="B15" s="8">
        <v>141248284432</v>
      </c>
      <c r="C15" s="114" t="str">
        <f>IF((B15/B6-1)&gt;0,"+","")&amp;ROUND((B15/B6-1)*100,0)&amp;"%"</f>
        <v>+86%</v>
      </c>
      <c r="D15" s="78"/>
    </row>
    <row r="16" spans="1:8" x14ac:dyDescent="0.25">
      <c r="A16" s="1"/>
      <c r="B16" s="21"/>
      <c r="C16" s="114"/>
      <c r="D16" s="78"/>
    </row>
    <row r="17" spans="2:3" x14ac:dyDescent="0.25">
      <c r="B17" s="114">
        <f>B15/B6-1</f>
        <v>0.8580461295656967</v>
      </c>
      <c r="C17" s="114">
        <f>(1+B17)^(1/9)-1</f>
        <v>7.1260682707385614E-2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Plan103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8.5703125" bestFit="1" customWidth="1"/>
    <col min="2" max="2" width="32.42578125" customWidth="1"/>
  </cols>
  <sheetData>
    <row r="1" spans="1:8" x14ac:dyDescent="0.25">
      <c r="C1" s="78"/>
      <c r="D1" s="78"/>
      <c r="E1" s="78"/>
      <c r="F1" s="78"/>
      <c r="G1" s="78" t="s">
        <v>291</v>
      </c>
      <c r="H1" s="78" t="s">
        <v>1255</v>
      </c>
    </row>
    <row r="3" spans="1:8" x14ac:dyDescent="0.25">
      <c r="A3" s="350" t="str">
        <f>"Tabela Referente à "&amp;G1</f>
        <v>Tabela Referente à Figura 3.45</v>
      </c>
      <c r="B3" s="350"/>
    </row>
    <row r="4" spans="1:8" ht="29.25" customHeight="1" x14ac:dyDescent="0.25">
      <c r="A4" s="351" t="str">
        <f>H1</f>
        <v>Variação no RPK em relação ao ano anterior – mercado internacional, 2009 a 2018</v>
      </c>
      <c r="B4" s="351"/>
    </row>
    <row r="5" spans="1:8" x14ac:dyDescent="0.25">
      <c r="A5" s="1" t="s">
        <v>20</v>
      </c>
      <c r="B5" s="21" t="s">
        <v>128</v>
      </c>
    </row>
    <row r="6" spans="1:8" x14ac:dyDescent="0.25">
      <c r="A6" s="17">
        <v>2009</v>
      </c>
      <c r="B6" s="19">
        <v>-3.3814068566244089E-2</v>
      </c>
    </row>
    <row r="7" spans="1:8" x14ac:dyDescent="0.25">
      <c r="A7" s="18">
        <v>2010</v>
      </c>
      <c r="B7" s="20">
        <v>0.21144031327175775</v>
      </c>
    </row>
    <row r="8" spans="1:8" x14ac:dyDescent="0.25">
      <c r="A8" s="17">
        <v>2011</v>
      </c>
      <c r="B8" s="19">
        <v>0.14512574821226146</v>
      </c>
    </row>
    <row r="9" spans="1:8" x14ac:dyDescent="0.25">
      <c r="A9" s="18">
        <v>2012</v>
      </c>
      <c r="B9" s="20">
        <v>9.0847470795377236E-2</v>
      </c>
    </row>
    <row r="10" spans="1:8" x14ac:dyDescent="0.25">
      <c r="A10" s="17">
        <v>2013</v>
      </c>
      <c r="B10" s="19">
        <v>4.4494571387595716E-2</v>
      </c>
    </row>
    <row r="11" spans="1:8" x14ac:dyDescent="0.25">
      <c r="A11" s="18">
        <v>2014</v>
      </c>
      <c r="B11" s="20">
        <v>8.3809379107329857E-2</v>
      </c>
    </row>
    <row r="12" spans="1:8" x14ac:dyDescent="0.25">
      <c r="A12" s="17">
        <v>2015</v>
      </c>
      <c r="B12" s="19">
        <v>8.2347521482741253E-3</v>
      </c>
    </row>
    <row r="13" spans="1:8" x14ac:dyDescent="0.25">
      <c r="A13" s="18">
        <v>2016</v>
      </c>
      <c r="B13" s="20">
        <v>-3.6296434139862589E-2</v>
      </c>
    </row>
    <row r="14" spans="1:8" x14ac:dyDescent="0.25">
      <c r="A14" s="17">
        <v>2017</v>
      </c>
      <c r="B14" s="19">
        <v>2.0016239932822148E-2</v>
      </c>
    </row>
    <row r="15" spans="1:8" x14ac:dyDescent="0.25">
      <c r="A15" s="18">
        <v>2018</v>
      </c>
      <c r="B15" s="20">
        <v>9.4374472829689846E-2</v>
      </c>
    </row>
    <row r="16" spans="1:8" x14ac:dyDescent="0.25">
      <c r="A16" s="1"/>
      <c r="B16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Plan104"/>
  <dimension ref="A1:H17"/>
  <sheetViews>
    <sheetView showGridLines="0" workbookViewId="0">
      <selection activeCell="A5" sqref="A5:C15"/>
    </sheetView>
  </sheetViews>
  <sheetFormatPr defaultRowHeight="15" x14ac:dyDescent="0.25"/>
  <cols>
    <col min="1" max="1" width="7.140625" customWidth="1"/>
    <col min="2" max="2" width="26" customWidth="1"/>
    <col min="3" max="3" width="26.85546875" customWidth="1"/>
  </cols>
  <sheetData>
    <row r="1" spans="1:8" x14ac:dyDescent="0.25">
      <c r="C1" s="78"/>
      <c r="D1" s="78"/>
      <c r="E1" s="78"/>
      <c r="F1" s="78"/>
      <c r="G1" s="78" t="s">
        <v>292</v>
      </c>
      <c r="H1" s="78" t="s">
        <v>1256</v>
      </c>
    </row>
    <row r="3" spans="1:8" x14ac:dyDescent="0.25">
      <c r="A3" s="350" t="str">
        <f>"Tabela Referente à "&amp;G1</f>
        <v>Tabela Referente à Figura 3.46</v>
      </c>
      <c r="B3" s="350"/>
      <c r="C3" s="350"/>
    </row>
    <row r="4" spans="1:8" ht="32.25" customHeight="1" x14ac:dyDescent="0.25">
      <c r="A4" s="351" t="str">
        <f>H1</f>
        <v>Evolução do RPK por nacionalidade das empresas – mercado internacional – 2009 a 2018</v>
      </c>
      <c r="B4" s="351"/>
      <c r="C4" s="351"/>
    </row>
    <row r="5" spans="1:8" x14ac:dyDescent="0.25">
      <c r="A5" s="1" t="s">
        <v>20</v>
      </c>
      <c r="B5" s="21" t="s">
        <v>236</v>
      </c>
      <c r="C5" s="21" t="s">
        <v>237</v>
      </c>
    </row>
    <row r="6" spans="1:8" x14ac:dyDescent="0.25">
      <c r="A6" s="17">
        <v>2009</v>
      </c>
      <c r="B6" s="59">
        <v>19522497876</v>
      </c>
      <c r="C6" s="7">
        <v>56497296350</v>
      </c>
      <c r="D6" s="114">
        <f>B6/SUM(B6:C6)</f>
        <v>0.25680808629869967</v>
      </c>
    </row>
    <row r="7" spans="1:8" x14ac:dyDescent="0.25">
      <c r="A7" s="18">
        <v>2010</v>
      </c>
      <c r="B7" s="58">
        <v>23711344326</v>
      </c>
      <c r="C7" s="8">
        <v>68382099006</v>
      </c>
      <c r="D7" s="114">
        <f t="shared" ref="D7:D15" si="0">B7/SUM(B7:C7)</f>
        <v>0.25747049375187109</v>
      </c>
    </row>
    <row r="8" spans="1:8" x14ac:dyDescent="0.25">
      <c r="A8" s="17">
        <v>2011</v>
      </c>
      <c r="B8" s="59">
        <v>26353842595</v>
      </c>
      <c r="C8" s="7">
        <v>79104730606</v>
      </c>
      <c r="D8" s="114">
        <f t="shared" si="0"/>
        <v>0.24989758343089458</v>
      </c>
    </row>
    <row r="9" spans="1:8" x14ac:dyDescent="0.25">
      <c r="A9" s="18">
        <v>2012</v>
      </c>
      <c r="B9" s="58">
        <v>26439915242</v>
      </c>
      <c r="C9" s="8">
        <v>88599302608</v>
      </c>
      <c r="D9" s="114">
        <f t="shared" si="0"/>
        <v>0.22983392738705063</v>
      </c>
    </row>
    <row r="10" spans="1:8" x14ac:dyDescent="0.25">
      <c r="A10" s="17">
        <v>2013</v>
      </c>
      <c r="B10" s="59">
        <v>27787771816</v>
      </c>
      <c r="C10" s="7">
        <v>92370066725</v>
      </c>
      <c r="D10" s="114">
        <f t="shared" si="0"/>
        <v>0.23126058319131895</v>
      </c>
    </row>
    <row r="11" spans="1:8" x14ac:dyDescent="0.25">
      <c r="A11" s="18">
        <v>2014</v>
      </c>
      <c r="B11" s="58">
        <v>29142337285</v>
      </c>
      <c r="C11" s="8">
        <v>101085855099</v>
      </c>
      <c r="D11" s="114">
        <f t="shared" si="0"/>
        <v>0.22377902013005646</v>
      </c>
    </row>
    <row r="12" spans="1:8" x14ac:dyDescent="0.25">
      <c r="A12" s="17">
        <v>2015</v>
      </c>
      <c r="B12" s="59">
        <v>33153575587</v>
      </c>
      <c r="C12" s="7">
        <v>98147013684</v>
      </c>
      <c r="D12" s="114">
        <f t="shared" si="0"/>
        <v>0.25250134649869799</v>
      </c>
    </row>
    <row r="13" spans="1:8" x14ac:dyDescent="0.25">
      <c r="A13" s="18">
        <v>2016</v>
      </c>
      <c r="B13" s="58">
        <v>33049417334</v>
      </c>
      <c r="C13" s="8">
        <v>93485428746</v>
      </c>
      <c r="D13" s="114">
        <f t="shared" si="0"/>
        <v>0.26118826835340631</v>
      </c>
    </row>
    <row r="14" spans="1:8" x14ac:dyDescent="0.25">
      <c r="A14" s="17">
        <v>2017</v>
      </c>
      <c r="B14" s="59">
        <v>37023763275</v>
      </c>
      <c r="C14" s="7">
        <v>92043834644</v>
      </c>
      <c r="D14" s="114">
        <f t="shared" si="0"/>
        <v>0.28685560025867457</v>
      </c>
    </row>
    <row r="15" spans="1:8" x14ac:dyDescent="0.25">
      <c r="A15" s="18">
        <v>2018</v>
      </c>
      <c r="B15" s="58">
        <v>43157049671</v>
      </c>
      <c r="C15" s="8">
        <v>98091234761</v>
      </c>
      <c r="D15" s="114">
        <f t="shared" si="0"/>
        <v>0.3055403458140884</v>
      </c>
    </row>
    <row r="16" spans="1:8" x14ac:dyDescent="0.25">
      <c r="A16" s="1"/>
      <c r="B16" s="1"/>
      <c r="C16" s="21"/>
    </row>
    <row r="17" spans="2:3" x14ac:dyDescent="0.25">
      <c r="B17" s="113" t="s">
        <v>383</v>
      </c>
      <c r="C17" s="113" t="s">
        <v>384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Plan105"/>
  <dimension ref="A1:H8"/>
  <sheetViews>
    <sheetView showGridLines="0" workbookViewId="0">
      <selection activeCell="F3" sqref="F3"/>
    </sheetView>
  </sheetViews>
  <sheetFormatPr defaultRowHeight="15" x14ac:dyDescent="0.25"/>
  <cols>
    <col min="1" max="1" width="24.85546875" bestFit="1" customWidth="1"/>
    <col min="2" max="2" width="40.7109375" bestFit="1" customWidth="1"/>
  </cols>
  <sheetData>
    <row r="1" spans="1:8" x14ac:dyDescent="0.25">
      <c r="C1" s="78"/>
      <c r="D1" s="78"/>
      <c r="E1" s="78"/>
      <c r="F1" s="78"/>
      <c r="G1" s="78" t="s">
        <v>293</v>
      </c>
      <c r="H1" s="78" t="s">
        <v>1257</v>
      </c>
    </row>
    <row r="3" spans="1:8" x14ac:dyDescent="0.25">
      <c r="A3" s="350" t="str">
        <f>"Tabela Referente à "&amp;G1</f>
        <v>Tabela Referente à Figura 3.47</v>
      </c>
      <c r="B3" s="350"/>
    </row>
    <row r="4" spans="1:8" ht="33" customHeight="1" x14ac:dyDescent="0.25">
      <c r="A4" s="351" t="str">
        <f>H1</f>
        <v>Variação do RPK por nacionalidade da empresa – mercado internacional, 2018/2009</v>
      </c>
      <c r="B4" s="351"/>
    </row>
    <row r="5" spans="1:8" ht="16.5" customHeight="1" x14ac:dyDescent="0.25">
      <c r="A5" s="22" t="s">
        <v>20</v>
      </c>
      <c r="B5" s="21" t="s">
        <v>231</v>
      </c>
    </row>
    <row r="6" spans="1:8" x14ac:dyDescent="0.25">
      <c r="A6" s="17" t="s">
        <v>105</v>
      </c>
      <c r="B6" s="10">
        <v>1.2106315464915562</v>
      </c>
      <c r="C6" s="78" t="s">
        <v>383</v>
      </c>
    </row>
    <row r="7" spans="1:8" x14ac:dyDescent="0.25">
      <c r="A7" s="18" t="s">
        <v>106</v>
      </c>
      <c r="B7" s="11">
        <v>0.73621113041102182</v>
      </c>
      <c r="C7" s="78" t="s">
        <v>384</v>
      </c>
    </row>
    <row r="8" spans="1:8" x14ac:dyDescent="0.25">
      <c r="A8" s="1"/>
      <c r="B8" s="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Plan106"/>
  <dimension ref="A1:H8"/>
  <sheetViews>
    <sheetView showGridLines="0" topLeftCell="A4" workbookViewId="0">
      <selection activeCell="A5" sqref="A5:B7"/>
    </sheetView>
  </sheetViews>
  <sheetFormatPr defaultRowHeight="15" x14ac:dyDescent="0.25"/>
  <cols>
    <col min="1" max="1" width="24.85546875" bestFit="1" customWidth="1"/>
    <col min="2" max="2" width="29.85546875" customWidth="1"/>
  </cols>
  <sheetData>
    <row r="1" spans="1:8" x14ac:dyDescent="0.25">
      <c r="C1" s="78"/>
      <c r="D1" s="78"/>
      <c r="E1" s="78"/>
      <c r="F1" s="78"/>
      <c r="G1" s="78" t="s">
        <v>513</v>
      </c>
      <c r="H1" s="78" t="s">
        <v>1258</v>
      </c>
    </row>
    <row r="3" spans="1:8" x14ac:dyDescent="0.25">
      <c r="A3" s="350" t="str">
        <f>"Tabela Referente à "&amp;G1</f>
        <v>Tabela Referente à Figura 3.48</v>
      </c>
      <c r="B3" s="350"/>
    </row>
    <row r="4" spans="1:8" ht="31.5" customHeight="1" x14ac:dyDescent="0.25">
      <c r="A4" s="351" t="str">
        <f>H1</f>
        <v>Variação do RPK por nacionalidade da empresa – mercado internacional, 2018/2017</v>
      </c>
      <c r="B4" s="351"/>
    </row>
    <row r="5" spans="1:8" x14ac:dyDescent="0.25">
      <c r="A5" s="22" t="s">
        <v>20</v>
      </c>
      <c r="B5" s="21" t="s">
        <v>231</v>
      </c>
    </row>
    <row r="6" spans="1:8" x14ac:dyDescent="0.25">
      <c r="A6" s="17" t="s">
        <v>105</v>
      </c>
      <c r="B6" s="10">
        <v>0.1656581031605032</v>
      </c>
      <c r="C6" s="78" t="s">
        <v>383</v>
      </c>
    </row>
    <row r="7" spans="1:8" x14ac:dyDescent="0.25">
      <c r="A7" s="18" t="s">
        <v>106</v>
      </c>
      <c r="B7" s="11">
        <v>6.5701305691898484E-2</v>
      </c>
      <c r="C7" s="78" t="s">
        <v>384</v>
      </c>
    </row>
    <row r="8" spans="1:8" x14ac:dyDescent="0.25">
      <c r="A8" s="1"/>
      <c r="B8" s="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Plan107"/>
  <dimension ref="A1:H17"/>
  <sheetViews>
    <sheetView showGridLines="0" workbookViewId="0">
      <selection activeCell="E7" sqref="E7"/>
    </sheetView>
  </sheetViews>
  <sheetFormatPr defaultRowHeight="15" x14ac:dyDescent="0.25"/>
  <cols>
    <col min="1" max="1" width="19" customWidth="1"/>
    <col min="2" max="2" width="34.7109375" customWidth="1"/>
  </cols>
  <sheetData>
    <row r="1" spans="1:8" x14ac:dyDescent="0.25">
      <c r="C1" s="78"/>
      <c r="D1" s="78"/>
      <c r="E1" s="78"/>
      <c r="F1" s="78"/>
      <c r="G1" s="78" t="s">
        <v>514</v>
      </c>
      <c r="H1" s="78" t="s">
        <v>1259</v>
      </c>
    </row>
    <row r="3" spans="1:8" x14ac:dyDescent="0.25">
      <c r="A3" s="350" t="str">
        <f>"Tabela Referente à "&amp;G1</f>
        <v>Tabela Referente à Figura 3.49</v>
      </c>
      <c r="B3" s="350"/>
    </row>
    <row r="4" spans="1:8" ht="28.5" customHeight="1" x14ac:dyDescent="0.25">
      <c r="A4" s="351" t="str">
        <f>H1</f>
        <v>Participação de mercado das maiores empresas em termos de RPK – mercado internacional, 2018</v>
      </c>
      <c r="B4" s="351"/>
    </row>
    <row r="5" spans="1:8" x14ac:dyDescent="0.25">
      <c r="A5" s="9" t="s">
        <v>7</v>
      </c>
      <c r="B5" s="39" t="s">
        <v>841</v>
      </c>
    </row>
    <row r="6" spans="1:8" x14ac:dyDescent="0.25">
      <c r="A6" s="27" t="s">
        <v>526</v>
      </c>
      <c r="B6" s="7">
        <v>29558250603</v>
      </c>
      <c r="C6" s="114">
        <f>B6/SUM($B$6:$B$9)</f>
        <v>0.68493486126292724</v>
      </c>
      <c r="D6" s="115">
        <f>B6/SUM($B$6:$B$9)</f>
        <v>0.68493486126292724</v>
      </c>
    </row>
    <row r="7" spans="1:8" x14ac:dyDescent="0.25">
      <c r="A7" s="28" t="s">
        <v>60</v>
      </c>
      <c r="B7" s="8">
        <v>6299986225</v>
      </c>
      <c r="C7" s="114">
        <f>B7/SUM($B$6:$B$9)</f>
        <v>0.14598564201024708</v>
      </c>
      <c r="D7" s="115">
        <f>B7/SUM($B$6:$B$9)</f>
        <v>0.14598564201024708</v>
      </c>
    </row>
    <row r="8" spans="1:8" x14ac:dyDescent="0.25">
      <c r="A8" s="27" t="s">
        <v>59</v>
      </c>
      <c r="B8" s="213">
        <v>4159298070</v>
      </c>
      <c r="C8" s="114">
        <f>B8/SUM($B$6:$B$9)</f>
        <v>9.6380813762958914E-2</v>
      </c>
      <c r="D8" s="115">
        <f>B8/SUM($B$6:$B$9)</f>
        <v>9.6380813762958914E-2</v>
      </c>
    </row>
    <row r="9" spans="1:8" x14ac:dyDescent="0.25">
      <c r="A9" s="28" t="s">
        <v>61</v>
      </c>
      <c r="B9" s="8">
        <v>3137299634</v>
      </c>
      <c r="C9" s="114">
        <f>B9/SUM($B$6:$B$9)</f>
        <v>7.269868296386682E-2</v>
      </c>
      <c r="D9" s="115">
        <f>B9/SUM($B$6:$B$9)</f>
        <v>7.269868296386682E-2</v>
      </c>
    </row>
    <row r="10" spans="1:8" x14ac:dyDescent="0.25">
      <c r="A10" s="27" t="s">
        <v>108</v>
      </c>
      <c r="B10" s="7">
        <v>2215139</v>
      </c>
      <c r="C10" s="114" t="s">
        <v>387</v>
      </c>
    </row>
    <row r="11" spans="1:8" x14ac:dyDescent="0.25">
      <c r="A11" s="28" t="s">
        <v>387</v>
      </c>
      <c r="B11" s="8">
        <v>12390969518</v>
      </c>
      <c r="C11" s="11"/>
    </row>
    <row r="12" spans="1:8" x14ac:dyDescent="0.25">
      <c r="A12" s="27" t="s">
        <v>109</v>
      </c>
      <c r="B12" s="7">
        <v>10173173314</v>
      </c>
    </row>
    <row r="13" spans="1:8" x14ac:dyDescent="0.25">
      <c r="A13" s="28" t="s">
        <v>345</v>
      </c>
      <c r="B13" s="8">
        <v>7638169638</v>
      </c>
    </row>
    <row r="14" spans="1:8" x14ac:dyDescent="0.25">
      <c r="A14" s="27" t="s">
        <v>420</v>
      </c>
      <c r="B14" s="7">
        <v>6390143642</v>
      </c>
    </row>
    <row r="15" spans="1:8" x14ac:dyDescent="0.25">
      <c r="A15" s="28" t="s">
        <v>456</v>
      </c>
      <c r="B15" s="8">
        <v>5847101887</v>
      </c>
    </row>
    <row r="16" spans="1:8" x14ac:dyDescent="0.25">
      <c r="A16" s="27" t="s">
        <v>110</v>
      </c>
      <c r="B16" s="7">
        <v>55651676762</v>
      </c>
    </row>
    <row r="17" spans="1:2" x14ac:dyDescent="0.25">
      <c r="A17" s="9" t="s">
        <v>10</v>
      </c>
      <c r="B17" s="39">
        <v>141248284432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Plan108"/>
  <dimension ref="A1:H17"/>
  <sheetViews>
    <sheetView showGridLines="0" zoomScaleNormal="100" workbookViewId="0">
      <selection activeCell="A5" sqref="A5:B17"/>
    </sheetView>
  </sheetViews>
  <sheetFormatPr defaultRowHeight="15" x14ac:dyDescent="0.25"/>
  <cols>
    <col min="1" max="1" width="22.5703125" customWidth="1"/>
    <col min="2" max="2" width="27.85546875" bestFit="1" customWidth="1"/>
  </cols>
  <sheetData>
    <row r="1" spans="1:8" x14ac:dyDescent="0.25">
      <c r="C1" s="78"/>
      <c r="D1" s="78"/>
      <c r="E1" s="78"/>
      <c r="F1" s="78"/>
      <c r="G1" s="78" t="s">
        <v>1260</v>
      </c>
      <c r="H1" s="78" t="s">
        <v>1261</v>
      </c>
    </row>
    <row r="3" spans="1:8" x14ac:dyDescent="0.25">
      <c r="A3" s="350" t="str">
        <f>"Tabela Referente à "&amp;G1</f>
        <v>Tabela Referente à Figura 3.50</v>
      </c>
      <c r="B3" s="350"/>
    </row>
    <row r="4" spans="1:8" ht="31.5" customHeight="1" x14ac:dyDescent="0.25">
      <c r="A4" s="351" t="str">
        <f>H1</f>
        <v>Variação do RPK das maiores empresas – mercado internacional, 2018/2017</v>
      </c>
      <c r="B4" s="351"/>
    </row>
    <row r="5" spans="1:8" x14ac:dyDescent="0.25">
      <c r="A5" s="1" t="s">
        <v>7</v>
      </c>
      <c r="B5" s="21" t="s">
        <v>841</v>
      </c>
    </row>
    <row r="6" spans="1:8" x14ac:dyDescent="0.25">
      <c r="A6" s="17" t="s">
        <v>526</v>
      </c>
      <c r="B6" s="10">
        <v>6.6157140715125351E-2</v>
      </c>
    </row>
    <row r="7" spans="1:8" x14ac:dyDescent="0.25">
      <c r="A7" s="18" t="s">
        <v>60</v>
      </c>
      <c r="B7" s="11">
        <v>0.44149917231087366</v>
      </c>
    </row>
    <row r="8" spans="1:8" x14ac:dyDescent="0.25">
      <c r="A8" s="17" t="s">
        <v>59</v>
      </c>
      <c r="B8" s="10">
        <v>4.4914215491406839E-2</v>
      </c>
    </row>
    <row r="9" spans="1:8" x14ac:dyDescent="0.25">
      <c r="A9" s="18" t="s">
        <v>61</v>
      </c>
      <c r="B9" s="11">
        <v>2.3069342427396182</v>
      </c>
    </row>
    <row r="10" spans="1:8" x14ac:dyDescent="0.25">
      <c r="A10" s="17" t="s">
        <v>108</v>
      </c>
      <c r="B10" s="10">
        <v>0</v>
      </c>
    </row>
    <row r="11" spans="1:8" x14ac:dyDescent="0.25">
      <c r="A11" s="18" t="s">
        <v>387</v>
      </c>
      <c r="B11" s="11">
        <v>7.8849909033900545E-2</v>
      </c>
    </row>
    <row r="12" spans="1:8" x14ac:dyDescent="0.25">
      <c r="A12" s="17" t="s">
        <v>109</v>
      </c>
      <c r="B12" s="10">
        <v>1.7878331581664852E-2</v>
      </c>
    </row>
    <row r="13" spans="1:8" x14ac:dyDescent="0.25">
      <c r="A13" s="18" t="s">
        <v>345</v>
      </c>
      <c r="B13" s="11">
        <v>1.7885665932151129E-2</v>
      </c>
    </row>
    <row r="14" spans="1:8" x14ac:dyDescent="0.25">
      <c r="A14" s="17" t="s">
        <v>420</v>
      </c>
      <c r="B14" s="10">
        <v>0.12563463197136393</v>
      </c>
    </row>
    <row r="15" spans="1:8" x14ac:dyDescent="0.25">
      <c r="A15" s="18" t="s">
        <v>456</v>
      </c>
      <c r="B15" s="11">
        <v>7.1737182747912964E-2</v>
      </c>
    </row>
    <row r="16" spans="1:8" x14ac:dyDescent="0.25">
      <c r="A16" s="17" t="s">
        <v>110</v>
      </c>
      <c r="B16" s="10">
        <v>7.1721042693611903E-2</v>
      </c>
    </row>
    <row r="17" spans="1:2" x14ac:dyDescent="0.25">
      <c r="A17" s="1" t="s">
        <v>10</v>
      </c>
      <c r="B17" s="21">
        <v>9.4374472829689804E-2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Plan109"/>
  <dimension ref="A1:H18"/>
  <sheetViews>
    <sheetView showGridLines="0" workbookViewId="0">
      <selection activeCell="A5" sqref="A5:C15"/>
    </sheetView>
  </sheetViews>
  <sheetFormatPr defaultRowHeight="15" x14ac:dyDescent="0.25"/>
  <cols>
    <col min="1" max="1" width="8.5703125" bestFit="1" customWidth="1"/>
    <col min="2" max="4" width="21.140625" customWidth="1"/>
  </cols>
  <sheetData>
    <row r="1" spans="1:8" x14ac:dyDescent="0.25">
      <c r="C1" s="78"/>
      <c r="D1" s="78"/>
      <c r="E1" s="78"/>
      <c r="F1" s="78" t="s">
        <v>17</v>
      </c>
      <c r="G1" s="78" t="s">
        <v>1262</v>
      </c>
      <c r="H1" s="78" t="s">
        <v>1263</v>
      </c>
    </row>
    <row r="3" spans="1:8" x14ac:dyDescent="0.25">
      <c r="A3" s="350" t="str">
        <f>"Tabela Referente à "&amp;G1</f>
        <v>Tabela Referente à Figura 3.51</v>
      </c>
      <c r="B3" s="350"/>
      <c r="C3" s="350"/>
      <c r="D3" s="350"/>
    </row>
    <row r="4" spans="1:8" ht="29.25" customHeight="1" x14ac:dyDescent="0.25">
      <c r="A4" s="351" t="str">
        <f>H1&amp;" (kg)"</f>
        <v>Evolução da quantidade de carga paga e correio transportados – mercado internacional, 2009 a 2018 (kg)</v>
      </c>
      <c r="B4" s="351"/>
      <c r="C4" s="351"/>
      <c r="D4" s="351"/>
    </row>
    <row r="5" spans="1:8" x14ac:dyDescent="0.25">
      <c r="A5" s="1" t="s">
        <v>20</v>
      </c>
      <c r="B5" s="21" t="s">
        <v>105</v>
      </c>
      <c r="C5" s="21" t="s">
        <v>106</v>
      </c>
      <c r="D5" s="21" t="s">
        <v>42</v>
      </c>
      <c r="E5" s="78"/>
      <c r="F5" s="78"/>
    </row>
    <row r="6" spans="1:8" x14ac:dyDescent="0.25">
      <c r="A6" s="17">
        <v>2009</v>
      </c>
      <c r="B6" s="7">
        <v>102871475</v>
      </c>
      <c r="C6" s="7">
        <v>378569006</v>
      </c>
      <c r="D6" s="7">
        <f>C6+B6</f>
        <v>481440481</v>
      </c>
      <c r="E6" s="145">
        <f>D6/1000000</f>
        <v>481.44048099999998</v>
      </c>
      <c r="F6" s="155"/>
    </row>
    <row r="7" spans="1:8" x14ac:dyDescent="0.25">
      <c r="A7" s="18">
        <v>2010</v>
      </c>
      <c r="B7" s="8">
        <v>95411499</v>
      </c>
      <c r="C7" s="8">
        <v>561276038</v>
      </c>
      <c r="D7" s="8">
        <f t="shared" ref="D7:D15" si="0">C7+B7</f>
        <v>656687537</v>
      </c>
      <c r="E7" s="145">
        <f t="shared" ref="E7:E15" si="1">D7/1000000</f>
        <v>656.68753700000002</v>
      </c>
      <c r="F7" s="114">
        <f t="shared" ref="F7:F14" si="2">E7/E6-1</f>
        <v>0.36400565161449316</v>
      </c>
    </row>
    <row r="8" spans="1:8" x14ac:dyDescent="0.25">
      <c r="A8" s="17">
        <v>2011</v>
      </c>
      <c r="B8" s="7">
        <v>166185874</v>
      </c>
      <c r="C8" s="7">
        <v>572446966</v>
      </c>
      <c r="D8" s="7">
        <f t="shared" si="0"/>
        <v>738632840</v>
      </c>
      <c r="E8" s="145">
        <f t="shared" si="1"/>
        <v>738.63283999999999</v>
      </c>
      <c r="F8" s="114">
        <f t="shared" si="2"/>
        <v>0.12478583555027933</v>
      </c>
    </row>
    <row r="9" spans="1:8" x14ac:dyDescent="0.25">
      <c r="A9" s="18">
        <v>2012</v>
      </c>
      <c r="B9" s="8">
        <v>148389176</v>
      </c>
      <c r="C9" s="8">
        <v>615103008</v>
      </c>
      <c r="D9" s="8">
        <f t="shared" si="0"/>
        <v>763492184</v>
      </c>
      <c r="E9" s="145">
        <f t="shared" si="1"/>
        <v>763.49218399999995</v>
      </c>
      <c r="F9" s="114">
        <f t="shared" si="2"/>
        <v>3.365588781565676E-2</v>
      </c>
    </row>
    <row r="10" spans="1:8" x14ac:dyDescent="0.25">
      <c r="A10" s="17">
        <v>2013</v>
      </c>
      <c r="B10" s="7">
        <v>179632850</v>
      </c>
      <c r="C10" s="7">
        <v>635581996</v>
      </c>
      <c r="D10" s="7">
        <f t="shared" si="0"/>
        <v>815214846</v>
      </c>
      <c r="E10" s="145">
        <f t="shared" si="1"/>
        <v>815.21484599999997</v>
      </c>
      <c r="F10" s="114">
        <f t="shared" si="2"/>
        <v>6.7744848059898333E-2</v>
      </c>
    </row>
    <row r="11" spans="1:8" x14ac:dyDescent="0.25">
      <c r="A11" s="18">
        <v>2014</v>
      </c>
      <c r="B11" s="8">
        <v>174377043</v>
      </c>
      <c r="C11" s="8">
        <v>632181591</v>
      </c>
      <c r="D11" s="8">
        <f t="shared" si="0"/>
        <v>806558634</v>
      </c>
      <c r="E11" s="145">
        <f t="shared" si="1"/>
        <v>806.55863399999998</v>
      </c>
      <c r="F11" s="114">
        <f t="shared" si="2"/>
        <v>-1.0618319872943038E-2</v>
      </c>
    </row>
    <row r="12" spans="1:8" x14ac:dyDescent="0.25">
      <c r="A12" s="17">
        <v>2015</v>
      </c>
      <c r="B12" s="7">
        <v>180718295</v>
      </c>
      <c r="C12" s="7">
        <v>582601772</v>
      </c>
      <c r="D12" s="7">
        <f t="shared" si="0"/>
        <v>763320067</v>
      </c>
      <c r="E12" s="145">
        <f t="shared" si="1"/>
        <v>763.32006699999999</v>
      </c>
      <c r="F12" s="114">
        <f t="shared" si="2"/>
        <v>-5.360870887410274E-2</v>
      </c>
    </row>
    <row r="13" spans="1:8" x14ac:dyDescent="0.25">
      <c r="A13" s="18">
        <v>2016</v>
      </c>
      <c r="B13" s="8">
        <v>183674373</v>
      </c>
      <c r="C13" s="8">
        <v>544232111</v>
      </c>
      <c r="D13" s="8">
        <f t="shared" si="0"/>
        <v>727906484</v>
      </c>
      <c r="E13" s="145">
        <f t="shared" si="1"/>
        <v>727.90648399999998</v>
      </c>
      <c r="F13" s="114">
        <f t="shared" si="2"/>
        <v>-4.6394146480627008E-2</v>
      </c>
    </row>
    <row r="14" spans="1:8" x14ac:dyDescent="0.25">
      <c r="A14" s="17">
        <v>2017</v>
      </c>
      <c r="B14" s="7">
        <v>226563387</v>
      </c>
      <c r="C14" s="7">
        <v>591191462</v>
      </c>
      <c r="D14" s="7">
        <f t="shared" si="0"/>
        <v>817754849</v>
      </c>
      <c r="E14" s="145">
        <f t="shared" si="1"/>
        <v>817.75484900000004</v>
      </c>
      <c r="F14" s="114">
        <f t="shared" si="2"/>
        <v>0.12343393962678317</v>
      </c>
    </row>
    <row r="15" spans="1:8" x14ac:dyDescent="0.25">
      <c r="A15" s="18">
        <v>2018</v>
      </c>
      <c r="B15" s="8">
        <v>281691168</v>
      </c>
      <c r="C15" s="8">
        <v>651140233</v>
      </c>
      <c r="D15" s="8">
        <f t="shared" si="0"/>
        <v>932831401</v>
      </c>
      <c r="E15" s="145">
        <f t="shared" si="1"/>
        <v>932.83140100000003</v>
      </c>
      <c r="F15" s="114">
        <f>E15/E14-1</f>
        <v>0.140722555348614</v>
      </c>
    </row>
    <row r="16" spans="1:8" x14ac:dyDescent="0.25">
      <c r="A16" s="1"/>
      <c r="B16" s="21"/>
      <c r="C16" s="21"/>
      <c r="D16" s="21"/>
      <c r="E16" s="114" t="str">
        <f>"+ "&amp;ROUND(E15/E6-1,3)*100&amp;"%"</f>
        <v>+ 93,8%</v>
      </c>
      <c r="F16" s="78"/>
    </row>
    <row r="17" spans="2:5" x14ac:dyDescent="0.25">
      <c r="B17" s="118" t="s">
        <v>390</v>
      </c>
      <c r="C17" s="118" t="s">
        <v>384</v>
      </c>
      <c r="D17" s="78">
        <f>D15/D14-1</f>
        <v>0.140722555348614</v>
      </c>
      <c r="E17" s="147">
        <f>D15/D6-1</f>
        <v>0.93758405828777835</v>
      </c>
    </row>
    <row r="18" spans="2:5" x14ac:dyDescent="0.25">
      <c r="D18" s="78"/>
      <c r="E18" s="114">
        <f>(1+E17)^(1/9)-1</f>
        <v>7.6261584744254485E-2</v>
      </c>
    </row>
  </sheetData>
  <mergeCells count="2">
    <mergeCell ref="A4:D4"/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Plan110"/>
  <dimension ref="A1:H17"/>
  <sheetViews>
    <sheetView showGridLines="0" workbookViewId="0">
      <selection activeCell="A5" sqref="A5:B15"/>
    </sheetView>
  </sheetViews>
  <sheetFormatPr defaultRowHeight="15" x14ac:dyDescent="0.25"/>
  <cols>
    <col min="1" max="1" width="17.42578125" customWidth="1"/>
    <col min="2" max="2" width="50.85546875" bestFit="1" customWidth="1"/>
  </cols>
  <sheetData>
    <row r="1" spans="1:8" x14ac:dyDescent="0.25">
      <c r="C1" s="78"/>
      <c r="D1" s="78"/>
      <c r="E1" s="78"/>
      <c r="F1" s="78"/>
      <c r="G1" s="78" t="s">
        <v>1264</v>
      </c>
      <c r="H1" s="78" t="s">
        <v>1265</v>
      </c>
    </row>
    <row r="3" spans="1:8" ht="13.5" customHeight="1" x14ac:dyDescent="0.25">
      <c r="A3" s="350" t="str">
        <f>"Tabela Referente à "&amp;G1</f>
        <v>Tabela Referente à Figura 3.52</v>
      </c>
      <c r="B3" s="350"/>
    </row>
    <row r="4" spans="1:8" ht="32.25" customHeight="1" x14ac:dyDescent="0.25">
      <c r="A4" s="351" t="str">
        <f>H1</f>
        <v>Evolução da quantidade de carga paga e correio transportados por nacionalidade das empresas – mercado internacional, 2009 a 2018</v>
      </c>
      <c r="B4" s="351"/>
    </row>
    <row r="5" spans="1:8" x14ac:dyDescent="0.25">
      <c r="A5" s="1" t="s">
        <v>20</v>
      </c>
      <c r="B5" s="21" t="s">
        <v>606</v>
      </c>
    </row>
    <row r="6" spans="1:8" x14ac:dyDescent="0.25">
      <c r="A6" s="17">
        <v>2009</v>
      </c>
      <c r="B6" s="10">
        <v>-0.18827079686068227</v>
      </c>
      <c r="C6" s="114">
        <f>B6</f>
        <v>-0.18827079686068227</v>
      </c>
      <c r="D6" s="78"/>
      <c r="E6" s="78"/>
    </row>
    <row r="7" spans="1:8" x14ac:dyDescent="0.25">
      <c r="A7" s="18">
        <v>2010</v>
      </c>
      <c r="B7" s="11">
        <v>0.36400565161449311</v>
      </c>
      <c r="C7" s="114">
        <f t="shared" ref="C7:C15" si="0">B7</f>
        <v>0.36400565161449311</v>
      </c>
      <c r="D7" s="78"/>
      <c r="E7" s="78"/>
    </row>
    <row r="8" spans="1:8" x14ac:dyDescent="0.25">
      <c r="A8" s="17">
        <v>2011</v>
      </c>
      <c r="B8" s="10">
        <v>0.12478583555027938</v>
      </c>
      <c r="C8" s="114">
        <f t="shared" si="0"/>
        <v>0.12478583555027938</v>
      </c>
      <c r="D8" s="78"/>
      <c r="E8" s="78"/>
    </row>
    <row r="9" spans="1:8" x14ac:dyDescent="0.25">
      <c r="A9" s="18">
        <v>2012</v>
      </c>
      <c r="B9" s="11">
        <v>3.3655887815656829E-2</v>
      </c>
      <c r="C9" s="114">
        <f t="shared" si="0"/>
        <v>3.3655887815656829E-2</v>
      </c>
      <c r="D9" s="78"/>
      <c r="E9" s="78"/>
    </row>
    <row r="10" spans="1:8" x14ac:dyDescent="0.25">
      <c r="A10" s="17">
        <v>2013</v>
      </c>
      <c r="B10" s="10">
        <v>6.7744848059898416E-2</v>
      </c>
      <c r="C10" s="114">
        <f t="shared" si="0"/>
        <v>6.7744848059898416E-2</v>
      </c>
      <c r="D10" s="78"/>
      <c r="E10" s="78"/>
    </row>
    <row r="11" spans="1:8" x14ac:dyDescent="0.25">
      <c r="A11" s="18">
        <v>2014</v>
      </c>
      <c r="B11" s="11">
        <v>-1.061831987294304E-2</v>
      </c>
      <c r="C11" s="114">
        <f t="shared" si="0"/>
        <v>-1.061831987294304E-2</v>
      </c>
      <c r="D11" s="78"/>
      <c r="E11" s="78"/>
    </row>
    <row r="12" spans="1:8" x14ac:dyDescent="0.25">
      <c r="A12" s="17">
        <v>2015</v>
      </c>
      <c r="B12" s="10">
        <v>-5.360870887410276E-2</v>
      </c>
      <c r="C12" s="114">
        <f t="shared" si="0"/>
        <v>-5.360870887410276E-2</v>
      </c>
      <c r="D12" s="78"/>
      <c r="E12" s="78"/>
    </row>
    <row r="13" spans="1:8" x14ac:dyDescent="0.25">
      <c r="A13" s="18">
        <v>2016</v>
      </c>
      <c r="B13" s="11">
        <v>-4.639414648062698E-2</v>
      </c>
      <c r="C13" s="114">
        <f t="shared" si="0"/>
        <v>-4.639414648062698E-2</v>
      </c>
      <c r="D13" s="78"/>
      <c r="E13" s="78"/>
    </row>
    <row r="14" spans="1:8" x14ac:dyDescent="0.25">
      <c r="A14" s="17">
        <v>2017</v>
      </c>
      <c r="B14" s="10">
        <v>0.12343393962678316</v>
      </c>
      <c r="C14" s="114">
        <f t="shared" si="0"/>
        <v>0.12343393962678316</v>
      </c>
      <c r="D14" s="78"/>
      <c r="E14" s="78"/>
    </row>
    <row r="15" spans="1:8" x14ac:dyDescent="0.25">
      <c r="A15" s="18">
        <v>2018</v>
      </c>
      <c r="B15" s="11">
        <v>0.14072255534861403</v>
      </c>
      <c r="C15" s="114">
        <f t="shared" si="0"/>
        <v>0.14072255534861403</v>
      </c>
      <c r="D15" s="114">
        <f>B15/B14-1</f>
        <v>0.14006371160237618</v>
      </c>
      <c r="E15" s="114" t="e">
        <f>#REF!/#REF!-1</f>
        <v>#REF!</v>
      </c>
    </row>
    <row r="16" spans="1:8" x14ac:dyDescent="0.25">
      <c r="A16" s="1"/>
      <c r="B16" s="1"/>
    </row>
    <row r="17" spans="2:2" x14ac:dyDescent="0.25">
      <c r="B17" s="78" t="s">
        <v>383</v>
      </c>
    </row>
  </sheetData>
  <mergeCells count="2">
    <mergeCell ref="A4:B4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204"/>
  <dimension ref="A1:J15"/>
  <sheetViews>
    <sheetView showGridLines="0" workbookViewId="0">
      <selection activeCell="A5" sqref="A5:H14"/>
    </sheetView>
  </sheetViews>
  <sheetFormatPr defaultRowHeight="15" x14ac:dyDescent="0.25"/>
  <cols>
    <col min="1" max="1" width="31.7109375" bestFit="1" customWidth="1"/>
    <col min="2" max="2" width="4.85546875" bestFit="1" customWidth="1"/>
    <col min="3" max="3" width="4.140625" bestFit="1" customWidth="1"/>
    <col min="4" max="4" width="7.85546875" bestFit="1" customWidth="1"/>
    <col min="5" max="5" width="6.42578125" bestFit="1" customWidth="1"/>
    <col min="6" max="6" width="7.140625" bestFit="1" customWidth="1"/>
    <col min="7" max="7" width="16.5703125" bestFit="1" customWidth="1"/>
    <col min="8" max="8" width="19.140625" customWidth="1"/>
  </cols>
  <sheetData>
    <row r="1" spans="1:10" x14ac:dyDescent="0.25">
      <c r="F1" s="78"/>
      <c r="G1" s="78" t="s">
        <v>248</v>
      </c>
      <c r="H1" s="78" t="s">
        <v>734</v>
      </c>
    </row>
    <row r="2" spans="1:10" ht="19.5" customHeight="1" x14ac:dyDescent="0.25"/>
    <row r="3" spans="1:10" x14ac:dyDescent="0.25">
      <c r="A3" s="350" t="str">
        <f>"Tabela "&amp;RIGHT(G1,3)</f>
        <v>Tabela 2.3</v>
      </c>
      <c r="B3" s="350"/>
      <c r="C3" s="350"/>
      <c r="D3" s="350"/>
      <c r="E3" s="350"/>
      <c r="F3" s="350"/>
      <c r="G3" s="350"/>
      <c r="H3" s="350"/>
      <c r="I3" s="162"/>
      <c r="J3" s="162"/>
    </row>
    <row r="4" spans="1:10" ht="21" customHeight="1" x14ac:dyDescent="0.25">
      <c r="A4" s="352" t="str">
        <f>H1</f>
        <v>Quantidade de aeronaves por assentos de passageiro instalados em cada empresa aérea brasileira, 2017</v>
      </c>
      <c r="B4" s="352"/>
      <c r="C4" s="352"/>
      <c r="D4" s="352"/>
      <c r="E4" s="352"/>
      <c r="F4" s="352"/>
      <c r="G4" s="352"/>
      <c r="H4" s="352"/>
    </row>
    <row r="5" spans="1:10" x14ac:dyDescent="0.25">
      <c r="A5" s="1" t="s">
        <v>37</v>
      </c>
      <c r="B5" s="119" t="s">
        <v>60</v>
      </c>
      <c r="C5" s="119" t="s">
        <v>59</v>
      </c>
      <c r="D5" s="119" t="s">
        <v>61</v>
      </c>
      <c r="E5" s="119" t="s">
        <v>526</v>
      </c>
      <c r="F5" s="119" t="s">
        <v>414</v>
      </c>
      <c r="G5" s="119" t="s">
        <v>872</v>
      </c>
      <c r="H5" s="119" t="s">
        <v>870</v>
      </c>
    </row>
    <row r="6" spans="1:10" x14ac:dyDescent="0.25">
      <c r="A6" s="128" t="s">
        <v>422</v>
      </c>
      <c r="B6" s="129">
        <v>2</v>
      </c>
      <c r="C6" s="129">
        <v>0</v>
      </c>
      <c r="D6" s="129">
        <v>1</v>
      </c>
      <c r="E6" s="129">
        <v>0</v>
      </c>
      <c r="F6" s="129">
        <v>12</v>
      </c>
      <c r="G6" s="129">
        <v>11</v>
      </c>
      <c r="H6" s="129">
        <v>26</v>
      </c>
    </row>
    <row r="7" spans="1:10" x14ac:dyDescent="0.25">
      <c r="A7" s="130" t="s">
        <v>39</v>
      </c>
      <c r="B7" s="131">
        <v>0</v>
      </c>
      <c r="C7" s="131">
        <v>0</v>
      </c>
      <c r="D7" s="131">
        <v>0</v>
      </c>
      <c r="E7" s="131">
        <v>0</v>
      </c>
      <c r="F7" s="131">
        <v>0</v>
      </c>
      <c r="G7" s="131">
        <v>13</v>
      </c>
      <c r="H7" s="131">
        <v>13</v>
      </c>
    </row>
    <row r="8" spans="1:10" x14ac:dyDescent="0.25">
      <c r="A8" s="128" t="s">
        <v>40</v>
      </c>
      <c r="B8" s="129">
        <v>36</v>
      </c>
      <c r="C8" s="129">
        <v>0</v>
      </c>
      <c r="D8" s="129">
        <v>0</v>
      </c>
      <c r="E8" s="129">
        <v>0</v>
      </c>
      <c r="F8" s="129">
        <v>1</v>
      </c>
      <c r="G8" s="129">
        <v>8</v>
      </c>
      <c r="H8" s="129">
        <v>45</v>
      </c>
    </row>
    <row r="9" spans="1:10" x14ac:dyDescent="0.25">
      <c r="A9" s="130" t="s">
        <v>423</v>
      </c>
      <c r="B9" s="131">
        <v>63</v>
      </c>
      <c r="C9" s="131">
        <v>24</v>
      </c>
      <c r="D9" s="131">
        <v>9</v>
      </c>
      <c r="E9" s="131">
        <v>22</v>
      </c>
      <c r="F9" s="131">
        <v>2</v>
      </c>
      <c r="G9" s="131">
        <v>0</v>
      </c>
      <c r="H9" s="131">
        <v>120</v>
      </c>
    </row>
    <row r="10" spans="1:10" x14ac:dyDescent="0.25">
      <c r="A10" s="128" t="s">
        <v>424</v>
      </c>
      <c r="B10" s="129">
        <v>20</v>
      </c>
      <c r="C10" s="129">
        <v>97</v>
      </c>
      <c r="D10" s="129">
        <v>33</v>
      </c>
      <c r="E10" s="129">
        <v>59</v>
      </c>
      <c r="F10" s="129">
        <v>0</v>
      </c>
      <c r="G10" s="129">
        <v>0</v>
      </c>
      <c r="H10" s="129">
        <v>209</v>
      </c>
    </row>
    <row r="11" spans="1:10" x14ac:dyDescent="0.25">
      <c r="A11" s="130" t="s">
        <v>425</v>
      </c>
      <c r="B11" s="131">
        <v>0</v>
      </c>
      <c r="C11" s="131">
        <v>0</v>
      </c>
      <c r="D11" s="131">
        <v>4</v>
      </c>
      <c r="E11" s="131">
        <v>58</v>
      </c>
      <c r="F11" s="131">
        <v>0</v>
      </c>
      <c r="G11" s="131">
        <v>0</v>
      </c>
      <c r="H11" s="131">
        <v>62</v>
      </c>
    </row>
    <row r="12" spans="1:10" x14ac:dyDescent="0.25">
      <c r="A12" s="128" t="s">
        <v>426</v>
      </c>
      <c r="B12" s="129">
        <v>7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7</v>
      </c>
    </row>
    <row r="13" spans="1:10" x14ac:dyDescent="0.25">
      <c r="A13" s="130" t="s">
        <v>427</v>
      </c>
      <c r="B13" s="131">
        <v>0</v>
      </c>
      <c r="C13" s="131">
        <v>0</v>
      </c>
      <c r="D13" s="131">
        <v>0</v>
      </c>
      <c r="E13" s="131">
        <v>17</v>
      </c>
      <c r="F13" s="131">
        <v>0</v>
      </c>
      <c r="G13" s="131">
        <v>0</v>
      </c>
      <c r="H13" s="131">
        <v>17</v>
      </c>
    </row>
    <row r="14" spans="1:10" x14ac:dyDescent="0.25">
      <c r="A14" s="16" t="s">
        <v>870</v>
      </c>
      <c r="B14" s="120">
        <v>128</v>
      </c>
      <c r="C14" s="120">
        <v>121</v>
      </c>
      <c r="D14" s="120">
        <v>47</v>
      </c>
      <c r="E14" s="120">
        <v>156</v>
      </c>
      <c r="F14" s="120">
        <v>15</v>
      </c>
      <c r="G14" s="120">
        <v>32</v>
      </c>
      <c r="H14" s="120">
        <v>499</v>
      </c>
    </row>
    <row r="15" spans="1:10" x14ac:dyDescent="0.25">
      <c r="B15" s="11"/>
      <c r="C15" s="11"/>
      <c r="D15" s="11"/>
      <c r="E15" s="11"/>
      <c r="F15" s="11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Plan111"/>
  <dimension ref="A1:H8"/>
  <sheetViews>
    <sheetView showGridLines="0" workbookViewId="0">
      <selection activeCell="A5" sqref="A5:B7"/>
    </sheetView>
  </sheetViews>
  <sheetFormatPr defaultRowHeight="15" x14ac:dyDescent="0.25"/>
  <cols>
    <col min="1" max="1" width="26.5703125" bestFit="1" customWidth="1"/>
    <col min="2" max="2" width="46.7109375" customWidth="1"/>
  </cols>
  <sheetData>
    <row r="1" spans="1:8" x14ac:dyDescent="0.25">
      <c r="C1" s="78"/>
      <c r="D1" s="78"/>
      <c r="E1" s="78"/>
      <c r="F1" s="78" t="s">
        <v>307</v>
      </c>
      <c r="G1" s="78" t="s">
        <v>1266</v>
      </c>
      <c r="H1" s="78" t="s">
        <v>1267</v>
      </c>
    </row>
    <row r="3" spans="1:8" x14ac:dyDescent="0.25">
      <c r="A3" s="350" t="str">
        <f>"Tabela Referente à "&amp;G1</f>
        <v>Tabela Referente à Figura 3.53</v>
      </c>
      <c r="B3" s="350"/>
    </row>
    <row r="4" spans="1:8" ht="29.25" customHeight="1" x14ac:dyDescent="0.25">
      <c r="A4" s="351" t="str">
        <f>H1</f>
        <v>Variação na quantidade de carga paga e correio transportados – mercado internacional, 2018/2009</v>
      </c>
      <c r="B4" s="351"/>
    </row>
    <row r="5" spans="1:8" x14ac:dyDescent="0.25">
      <c r="A5" s="1" t="s">
        <v>20</v>
      </c>
      <c r="B5" s="21" t="s">
        <v>344</v>
      </c>
    </row>
    <row r="6" spans="1:8" x14ac:dyDescent="0.25">
      <c r="A6" s="17" t="s">
        <v>105</v>
      </c>
      <c r="B6" s="10">
        <v>1.7382825802779633</v>
      </c>
      <c r="C6" s="78" t="s">
        <v>383</v>
      </c>
    </row>
    <row r="7" spans="1:8" x14ac:dyDescent="0.25">
      <c r="A7" s="18" t="s">
        <v>106</v>
      </c>
      <c r="B7" s="11">
        <v>0.72000407502985075</v>
      </c>
      <c r="C7" s="78" t="s">
        <v>384</v>
      </c>
    </row>
    <row r="8" spans="1:8" x14ac:dyDescent="0.25">
      <c r="A8" s="1"/>
      <c r="B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Plan112"/>
  <dimension ref="A1:H8"/>
  <sheetViews>
    <sheetView showGridLines="0" workbookViewId="0">
      <selection activeCell="A5" sqref="A5:B7"/>
    </sheetView>
  </sheetViews>
  <sheetFormatPr defaultRowHeight="15" x14ac:dyDescent="0.25"/>
  <cols>
    <col min="1" max="1" width="26.5703125" bestFit="1" customWidth="1"/>
    <col min="2" max="2" width="47" bestFit="1" customWidth="1"/>
  </cols>
  <sheetData>
    <row r="1" spans="1:8" x14ac:dyDescent="0.25">
      <c r="C1" s="78"/>
      <c r="D1" s="78"/>
      <c r="E1" s="78"/>
      <c r="F1" s="78"/>
      <c r="G1" s="78" t="s">
        <v>1268</v>
      </c>
      <c r="H1" s="78" t="s">
        <v>1269</v>
      </c>
    </row>
    <row r="3" spans="1:8" x14ac:dyDescent="0.25">
      <c r="A3" s="350" t="str">
        <f>"Tabela Referente à "&amp;G1</f>
        <v>Tabela Referente à Figura 3.54</v>
      </c>
      <c r="B3" s="350"/>
    </row>
    <row r="4" spans="1:8" ht="27.75" customHeight="1" x14ac:dyDescent="0.25">
      <c r="A4" s="351" t="str">
        <f>H1</f>
        <v>Variação na quantidade de carga paga e correio transportados – mercado internacional, 2018/2017</v>
      </c>
      <c r="B4" s="351"/>
    </row>
    <row r="5" spans="1:8" x14ac:dyDescent="0.25">
      <c r="A5" s="1" t="s">
        <v>20</v>
      </c>
      <c r="B5" s="21" t="s">
        <v>344</v>
      </c>
    </row>
    <row r="6" spans="1:8" x14ac:dyDescent="0.25">
      <c r="A6" s="17" t="s">
        <v>105</v>
      </c>
      <c r="B6" s="10">
        <v>0.24332166697349028</v>
      </c>
      <c r="C6" s="78" t="s">
        <v>383</v>
      </c>
    </row>
    <row r="7" spans="1:8" x14ac:dyDescent="0.25">
      <c r="A7" s="18" t="s">
        <v>106</v>
      </c>
      <c r="B7" s="11">
        <v>0.10140330984685296</v>
      </c>
      <c r="C7" s="78" t="s">
        <v>384</v>
      </c>
    </row>
    <row r="8" spans="1:8" x14ac:dyDescent="0.25">
      <c r="A8" s="1"/>
      <c r="B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Plan113"/>
  <dimension ref="A1:H18"/>
  <sheetViews>
    <sheetView showGridLines="0" workbookViewId="0">
      <selection activeCell="A5" sqref="A5:B18"/>
    </sheetView>
  </sheetViews>
  <sheetFormatPr defaultRowHeight="15" x14ac:dyDescent="0.25"/>
  <cols>
    <col min="1" max="1" width="24.28515625" customWidth="1"/>
    <col min="2" max="2" width="50.140625" bestFit="1" customWidth="1"/>
  </cols>
  <sheetData>
    <row r="1" spans="1:8" x14ac:dyDescent="0.25">
      <c r="C1" s="78" t="s">
        <v>18</v>
      </c>
      <c r="D1" s="78"/>
      <c r="E1" s="78"/>
      <c r="F1" s="78" t="s">
        <v>18</v>
      </c>
      <c r="G1" s="78" t="s">
        <v>1270</v>
      </c>
      <c r="H1" s="78" t="s">
        <v>1271</v>
      </c>
    </row>
    <row r="3" spans="1:8" x14ac:dyDescent="0.25">
      <c r="A3" s="350" t="str">
        <f>"Tabela Referente à "&amp;G1</f>
        <v>Tabela Referente à Figura 3.55</v>
      </c>
      <c r="B3" s="350"/>
    </row>
    <row r="4" spans="1:8" ht="31.5" customHeight="1" x14ac:dyDescent="0.25">
      <c r="A4" s="351" t="str">
        <f>H1</f>
        <v>Participação das principais empresas na quantidade de carga paga e correio transportados – mercado internacional, 2018</v>
      </c>
      <c r="B4" s="351"/>
    </row>
    <row r="5" spans="1:8" x14ac:dyDescent="0.25">
      <c r="A5" s="1" t="s">
        <v>7</v>
      </c>
      <c r="B5" s="21" t="s">
        <v>722</v>
      </c>
    </row>
    <row r="6" spans="1:8" x14ac:dyDescent="0.25">
      <c r="A6" s="17" t="s">
        <v>526</v>
      </c>
      <c r="B6" s="7">
        <v>137226992</v>
      </c>
      <c r="C6" s="114">
        <f>B6/SUM($B$6:$B$17)</f>
        <v>0.14710803244068754</v>
      </c>
    </row>
    <row r="7" spans="1:8" x14ac:dyDescent="0.25">
      <c r="A7" s="18" t="s">
        <v>102</v>
      </c>
      <c r="B7" s="8">
        <v>84203942</v>
      </c>
      <c r="C7" s="114">
        <f t="shared" ref="C7:C17" si="0">B7/SUM($B$6:$B$17)</f>
        <v>9.0267053520853763E-2</v>
      </c>
    </row>
    <row r="8" spans="1:8" x14ac:dyDescent="0.25">
      <c r="A8" s="17" t="s">
        <v>61</v>
      </c>
      <c r="B8" s="7">
        <v>32540415</v>
      </c>
      <c r="C8" s="114">
        <f t="shared" si="0"/>
        <v>3.4883490162441473E-2</v>
      </c>
    </row>
    <row r="9" spans="1:8" x14ac:dyDescent="0.25">
      <c r="A9" s="18" t="s">
        <v>60</v>
      </c>
      <c r="B9" s="8">
        <v>25681342</v>
      </c>
      <c r="C9" s="114">
        <f t="shared" si="0"/>
        <v>2.7530529067170628E-2</v>
      </c>
    </row>
    <row r="10" spans="1:8" x14ac:dyDescent="0.25">
      <c r="A10" s="17" t="s">
        <v>59</v>
      </c>
      <c r="B10" s="7">
        <v>2038477</v>
      </c>
      <c r="C10" s="114">
        <f t="shared" si="0"/>
        <v>2.1852576980306861E-3</v>
      </c>
    </row>
    <row r="11" spans="1:8" x14ac:dyDescent="0.25">
      <c r="A11" s="18" t="s">
        <v>108</v>
      </c>
      <c r="B11" s="8">
        <v>0</v>
      </c>
      <c r="C11" s="114">
        <f t="shared" si="0"/>
        <v>0</v>
      </c>
    </row>
    <row r="12" spans="1:8" x14ac:dyDescent="0.25">
      <c r="A12" s="17" t="s">
        <v>482</v>
      </c>
      <c r="B12" s="7">
        <v>70778172</v>
      </c>
      <c r="C12" s="114">
        <f t="shared" si="0"/>
        <v>7.5874559887376694E-2</v>
      </c>
    </row>
    <row r="13" spans="1:8" x14ac:dyDescent="0.25">
      <c r="A13" s="18" t="s">
        <v>109</v>
      </c>
      <c r="B13" s="8">
        <v>55816239</v>
      </c>
      <c r="C13" s="114">
        <f t="shared" si="0"/>
        <v>5.9835291715271063E-2</v>
      </c>
    </row>
    <row r="14" spans="1:8" x14ac:dyDescent="0.25">
      <c r="A14" s="17" t="s">
        <v>483</v>
      </c>
      <c r="B14" s="7">
        <v>52330728</v>
      </c>
      <c r="C14" s="114">
        <f t="shared" si="0"/>
        <v>5.6098806219324511E-2</v>
      </c>
    </row>
    <row r="15" spans="1:8" x14ac:dyDescent="0.25">
      <c r="A15" s="18" t="s">
        <v>387</v>
      </c>
      <c r="B15" s="8">
        <v>42621455</v>
      </c>
      <c r="C15" s="114">
        <f t="shared" si="0"/>
        <v>4.5690416247040552E-2</v>
      </c>
    </row>
    <row r="16" spans="1:8" x14ac:dyDescent="0.25">
      <c r="A16" s="17" t="s">
        <v>842</v>
      </c>
      <c r="B16" s="7">
        <v>35740870</v>
      </c>
      <c r="C16" s="114">
        <f t="shared" si="0"/>
        <v>3.8314394178503859E-2</v>
      </c>
    </row>
    <row r="17" spans="1:3" x14ac:dyDescent="0.25">
      <c r="A17" s="18" t="s">
        <v>110</v>
      </c>
      <c r="B17" s="8">
        <v>393852769</v>
      </c>
      <c r="C17" s="114">
        <f t="shared" si="0"/>
        <v>0.42221216886329921</v>
      </c>
    </row>
    <row r="18" spans="1:3" x14ac:dyDescent="0.25">
      <c r="A18" s="1" t="s">
        <v>10</v>
      </c>
      <c r="B18" s="81">
        <v>932831401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Plan114"/>
  <dimension ref="A1:H18"/>
  <sheetViews>
    <sheetView showGridLines="0" workbookViewId="0">
      <selection activeCell="I3" sqref="I3"/>
    </sheetView>
  </sheetViews>
  <sheetFormatPr defaultRowHeight="15" x14ac:dyDescent="0.25"/>
  <cols>
    <col min="1" max="1" width="21.5703125" customWidth="1"/>
    <col min="2" max="2" width="44.28515625" bestFit="1" customWidth="1"/>
  </cols>
  <sheetData>
    <row r="1" spans="1:8" x14ac:dyDescent="0.25">
      <c r="C1" s="78"/>
      <c r="D1" s="78"/>
      <c r="E1" s="78"/>
      <c r="F1" s="78"/>
      <c r="G1" s="78" t="s">
        <v>1272</v>
      </c>
      <c r="H1" s="78" t="s">
        <v>1273</v>
      </c>
    </row>
    <row r="3" spans="1:8" x14ac:dyDescent="0.25">
      <c r="A3" s="350" t="str">
        <f>"Tabela Referente à "&amp;G1</f>
        <v>Tabela Referente à Figura 3.56</v>
      </c>
      <c r="B3" s="350"/>
    </row>
    <row r="4" spans="1:8" ht="31.5" customHeight="1" x14ac:dyDescent="0.25">
      <c r="A4" s="352" t="str">
        <f>H1</f>
        <v>Variação da quantidade de carga paga e correio transportados pelas principais empresas – mercado internacional, 2018/2017</v>
      </c>
      <c r="B4" s="352"/>
    </row>
    <row r="5" spans="1:8" x14ac:dyDescent="0.25">
      <c r="A5" s="237" t="s">
        <v>7</v>
      </c>
      <c r="B5" s="238" t="s">
        <v>729</v>
      </c>
    </row>
    <row r="6" spans="1:8" x14ac:dyDescent="0.25">
      <c r="A6" s="239" t="s">
        <v>526</v>
      </c>
      <c r="B6" s="240">
        <v>0.1657184183707725</v>
      </c>
    </row>
    <row r="7" spans="1:8" x14ac:dyDescent="0.25">
      <c r="A7" s="241" t="s">
        <v>102</v>
      </c>
      <c r="B7" s="242">
        <v>0.1395690156866376</v>
      </c>
    </row>
    <row r="8" spans="1:8" x14ac:dyDescent="0.25">
      <c r="A8" s="239" t="s">
        <v>61</v>
      </c>
      <c r="B8" s="240">
        <v>0.93291027650659486</v>
      </c>
    </row>
    <row r="9" spans="1:8" x14ac:dyDescent="0.25">
      <c r="A9" s="241" t="s">
        <v>60</v>
      </c>
      <c r="B9" s="242">
        <v>0.64458674584861209</v>
      </c>
    </row>
    <row r="10" spans="1:8" x14ac:dyDescent="0.25">
      <c r="A10" s="239" t="s">
        <v>59</v>
      </c>
      <c r="B10" s="240">
        <v>-0.1855588383944321</v>
      </c>
    </row>
    <row r="11" spans="1:8" x14ac:dyDescent="0.25">
      <c r="A11" s="241" t="s">
        <v>108</v>
      </c>
      <c r="B11" s="242">
        <v>0</v>
      </c>
    </row>
    <row r="12" spans="1:8" x14ac:dyDescent="0.25">
      <c r="A12" s="239" t="s">
        <v>482</v>
      </c>
      <c r="B12" s="240">
        <v>0.22050612927004321</v>
      </c>
    </row>
    <row r="13" spans="1:8" x14ac:dyDescent="0.25">
      <c r="A13" s="241" t="s">
        <v>109</v>
      </c>
      <c r="B13" s="242">
        <v>5.2167201425554532E-2</v>
      </c>
    </row>
    <row r="14" spans="1:8" x14ac:dyDescent="0.25">
      <c r="A14" s="239" t="s">
        <v>483</v>
      </c>
      <c r="B14" s="240">
        <v>0.15628530758551062</v>
      </c>
    </row>
    <row r="15" spans="1:8" x14ac:dyDescent="0.25">
      <c r="A15" s="241" t="s">
        <v>387</v>
      </c>
      <c r="B15" s="242">
        <v>4.5888368405551772E-2</v>
      </c>
    </row>
    <row r="16" spans="1:8" x14ac:dyDescent="0.25">
      <c r="A16" s="239" t="s">
        <v>842</v>
      </c>
      <c r="B16" s="240">
        <v>0.73445381951986599</v>
      </c>
    </row>
    <row r="17" spans="1:2" x14ac:dyDescent="0.25">
      <c r="A17" s="241" t="s">
        <v>110</v>
      </c>
      <c r="B17" s="242">
        <v>5.4389490302815702E-2</v>
      </c>
    </row>
    <row r="18" spans="1:2" x14ac:dyDescent="0.25">
      <c r="A18" s="1" t="s">
        <v>10</v>
      </c>
      <c r="B18" s="81">
        <v>0.140722555348614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Plan115"/>
  <dimension ref="A1:H19"/>
  <sheetViews>
    <sheetView showGridLines="0" topLeftCell="A4" workbookViewId="0">
      <selection activeCell="A5" sqref="A5:C17"/>
    </sheetView>
  </sheetViews>
  <sheetFormatPr defaultRowHeight="15" x14ac:dyDescent="0.25"/>
  <cols>
    <col min="1" max="1" width="27" bestFit="1" customWidth="1"/>
    <col min="2" max="2" width="47.5703125" bestFit="1" customWidth="1"/>
    <col min="3" max="3" width="53.42578125" customWidth="1"/>
    <col min="4" max="4" width="4" customWidth="1"/>
  </cols>
  <sheetData>
    <row r="1" spans="1:8" x14ac:dyDescent="0.25">
      <c r="C1" s="78"/>
      <c r="D1" s="78"/>
      <c r="E1" s="78"/>
      <c r="F1" s="78"/>
      <c r="G1" s="78" t="s">
        <v>1274</v>
      </c>
      <c r="H1" s="78" t="s">
        <v>1275</v>
      </c>
    </row>
    <row r="3" spans="1:8" x14ac:dyDescent="0.25">
      <c r="A3" s="350" t="str">
        <f>"Tabela Referente à "&amp;G1</f>
        <v>Tabela Referente à Figura 3.57</v>
      </c>
      <c r="B3" s="350"/>
      <c r="C3" s="350"/>
    </row>
    <row r="4" spans="1:8" x14ac:dyDescent="0.25">
      <c r="A4" s="351" t="str">
        <f>H1&amp;" (kg)"</f>
        <v>Quantidade de carga paga e correio transportados entre Brasil e demais países por continente – mercado internacional, 2018 (kg)</v>
      </c>
      <c r="B4" s="351"/>
      <c r="C4" s="351"/>
    </row>
    <row r="5" spans="1:8" x14ac:dyDescent="0.25">
      <c r="A5" s="1" t="s">
        <v>111</v>
      </c>
      <c r="B5" s="21" t="s">
        <v>607</v>
      </c>
      <c r="C5" s="21" t="s">
        <v>843</v>
      </c>
    </row>
    <row r="6" spans="1:8" x14ac:dyDescent="0.25">
      <c r="A6" s="17" t="s">
        <v>608</v>
      </c>
      <c r="B6" s="7">
        <v>180038143</v>
      </c>
      <c r="C6" s="7">
        <v>188672812</v>
      </c>
      <c r="D6" s="78" t="s">
        <v>346</v>
      </c>
    </row>
    <row r="7" spans="1:8" x14ac:dyDescent="0.25">
      <c r="A7" s="18" t="s">
        <v>609</v>
      </c>
      <c r="B7" s="8">
        <v>149430991</v>
      </c>
      <c r="C7" s="8">
        <v>164860669</v>
      </c>
      <c r="D7" s="78" t="s">
        <v>346</v>
      </c>
    </row>
    <row r="8" spans="1:8" x14ac:dyDescent="0.25">
      <c r="A8" s="17" t="s">
        <v>610</v>
      </c>
      <c r="B8" s="7">
        <v>52121974</v>
      </c>
      <c r="C8" s="7">
        <v>56835676</v>
      </c>
      <c r="D8" s="78" t="s">
        <v>347</v>
      </c>
    </row>
    <row r="9" spans="1:8" x14ac:dyDescent="0.25">
      <c r="A9" s="18" t="s">
        <v>611</v>
      </c>
      <c r="B9" s="8">
        <v>16757982</v>
      </c>
      <c r="C9" s="8">
        <v>13830821</v>
      </c>
      <c r="D9" s="78" t="s">
        <v>347</v>
      </c>
    </row>
    <row r="10" spans="1:8" x14ac:dyDescent="0.25">
      <c r="A10" s="17" t="s">
        <v>612</v>
      </c>
      <c r="B10" s="7">
        <v>5418530</v>
      </c>
      <c r="C10" s="7">
        <v>7323270</v>
      </c>
      <c r="D10" s="78" t="s">
        <v>348</v>
      </c>
    </row>
    <row r="11" spans="1:8" x14ac:dyDescent="0.25">
      <c r="A11" s="18" t="s">
        <v>613</v>
      </c>
      <c r="B11" s="8">
        <v>778265</v>
      </c>
      <c r="C11" s="8">
        <v>758300</v>
      </c>
      <c r="D11" s="78" t="s">
        <v>348</v>
      </c>
    </row>
    <row r="12" spans="1:8" x14ac:dyDescent="0.25">
      <c r="A12" s="202" t="s">
        <v>614</v>
      </c>
      <c r="B12" s="203">
        <v>118251686</v>
      </c>
      <c r="C12" s="203">
        <v>140822380</v>
      </c>
      <c r="D12" s="78" t="s">
        <v>349</v>
      </c>
    </row>
    <row r="13" spans="1:8" x14ac:dyDescent="0.25">
      <c r="A13" s="18" t="s">
        <v>615</v>
      </c>
      <c r="B13" s="8">
        <v>106916962</v>
      </c>
      <c r="C13" s="8">
        <v>129715136</v>
      </c>
      <c r="D13" s="78" t="s">
        <v>349</v>
      </c>
    </row>
    <row r="14" spans="1:8" x14ac:dyDescent="0.25">
      <c r="A14" s="17" t="s">
        <v>616</v>
      </c>
      <c r="B14" s="7">
        <v>60644591</v>
      </c>
      <c r="C14" s="7">
        <v>75762315</v>
      </c>
      <c r="D14" s="78" t="s">
        <v>350</v>
      </c>
    </row>
    <row r="15" spans="1:8" x14ac:dyDescent="0.25">
      <c r="A15" s="18" t="s">
        <v>617</v>
      </c>
      <c r="B15" s="8">
        <v>9036983</v>
      </c>
      <c r="C15" s="8">
        <v>9585230</v>
      </c>
      <c r="D15" s="78" t="s">
        <v>350</v>
      </c>
    </row>
    <row r="16" spans="1:8" x14ac:dyDescent="0.25">
      <c r="A16" s="17" t="s">
        <v>618</v>
      </c>
      <c r="B16" s="7">
        <v>6834958</v>
      </c>
      <c r="C16" s="7">
        <v>7294510</v>
      </c>
      <c r="D16" s="78" t="s">
        <v>351</v>
      </c>
    </row>
    <row r="17" spans="1:4" x14ac:dyDescent="0.25">
      <c r="A17" s="18" t="s">
        <v>619</v>
      </c>
      <c r="B17" s="8">
        <v>1223919</v>
      </c>
      <c r="C17" s="8">
        <v>1578970</v>
      </c>
      <c r="D17" s="78" t="s">
        <v>351</v>
      </c>
    </row>
    <row r="18" spans="1:4" x14ac:dyDescent="0.25">
      <c r="A18" s="1"/>
      <c r="B18" s="1"/>
      <c r="C18" s="1"/>
    </row>
    <row r="19" spans="1:4" x14ac:dyDescent="0.25">
      <c r="B19" s="196" t="str">
        <f>RIGHT(B5,4)</f>
        <v>2017</v>
      </c>
      <c r="C19" s="196" t="str">
        <f>RIGHT(C5,4)</f>
        <v>2018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Plan116"/>
  <dimension ref="A1:H27"/>
  <sheetViews>
    <sheetView showGridLines="0" workbookViewId="0"/>
  </sheetViews>
  <sheetFormatPr defaultRowHeight="15" x14ac:dyDescent="0.25"/>
  <cols>
    <col min="1" max="1" width="29.7109375" bestFit="1" customWidth="1"/>
    <col min="2" max="3" width="42.42578125" bestFit="1" customWidth="1"/>
  </cols>
  <sheetData>
    <row r="1" spans="1:8" x14ac:dyDescent="0.25">
      <c r="C1" s="78"/>
      <c r="D1" s="78"/>
      <c r="E1" s="78"/>
      <c r="F1" s="78" t="s">
        <v>19</v>
      </c>
      <c r="G1" s="78" t="s">
        <v>1276</v>
      </c>
      <c r="H1" s="78" t="s">
        <v>1277</v>
      </c>
    </row>
    <row r="3" spans="1:8" x14ac:dyDescent="0.25">
      <c r="A3" s="350" t="str">
        <f>"Tabela Referente à "&amp;G1</f>
        <v>Tabela Referente à Figura 3.58</v>
      </c>
      <c r="B3" s="350"/>
      <c r="C3" s="350"/>
    </row>
    <row r="4" spans="1:8" ht="27.75" customHeight="1" x14ac:dyDescent="0.25">
      <c r="A4" s="352" t="str">
        <f>H1</f>
        <v>Quantidade de carga paga e correio transportados nas 20 principais rotas internacionais com origem no Brasil, 2018</v>
      </c>
      <c r="B4" s="352"/>
      <c r="C4" s="352"/>
    </row>
    <row r="5" spans="1:8" x14ac:dyDescent="0.25">
      <c r="A5" s="1" t="s">
        <v>111</v>
      </c>
      <c r="B5" s="21" t="s">
        <v>607</v>
      </c>
      <c r="C5" s="21" t="s">
        <v>843</v>
      </c>
    </row>
    <row r="6" spans="1:8" x14ac:dyDescent="0.25">
      <c r="A6" s="17" t="s">
        <v>620</v>
      </c>
      <c r="B6" s="7">
        <v>105416974</v>
      </c>
      <c r="C6" s="7">
        <v>125138237</v>
      </c>
      <c r="D6" s="78" t="s">
        <v>127</v>
      </c>
    </row>
    <row r="7" spans="1:8" x14ac:dyDescent="0.25">
      <c r="A7" s="18" t="s">
        <v>622</v>
      </c>
      <c r="B7" s="8">
        <v>20151258</v>
      </c>
      <c r="C7" s="8">
        <v>26147385</v>
      </c>
      <c r="D7" s="78" t="s">
        <v>121</v>
      </c>
    </row>
    <row r="8" spans="1:8" x14ac:dyDescent="0.25">
      <c r="A8" s="17" t="s">
        <v>621</v>
      </c>
      <c r="B8" s="7">
        <v>22176569</v>
      </c>
      <c r="C8" s="7">
        <v>25434973</v>
      </c>
      <c r="D8" s="78" t="s">
        <v>126</v>
      </c>
    </row>
    <row r="9" spans="1:8" x14ac:dyDescent="0.25">
      <c r="A9" s="18" t="s">
        <v>623</v>
      </c>
      <c r="B9" s="8">
        <v>16116458</v>
      </c>
      <c r="C9" s="8">
        <v>20148075</v>
      </c>
      <c r="D9" s="78" t="s">
        <v>119</v>
      </c>
    </row>
    <row r="10" spans="1:8" x14ac:dyDescent="0.25">
      <c r="A10" s="17" t="s">
        <v>626</v>
      </c>
      <c r="B10" s="7">
        <v>13287753</v>
      </c>
      <c r="C10" s="7">
        <v>18618335</v>
      </c>
      <c r="D10" s="78" t="s">
        <v>123</v>
      </c>
    </row>
    <row r="11" spans="1:8" x14ac:dyDescent="0.25">
      <c r="A11" s="18" t="s">
        <v>625</v>
      </c>
      <c r="B11" s="8">
        <v>15519323</v>
      </c>
      <c r="C11" s="8">
        <v>16801038</v>
      </c>
      <c r="D11" s="78" t="s">
        <v>125</v>
      </c>
    </row>
    <row r="12" spans="1:8" x14ac:dyDescent="0.25">
      <c r="A12" s="17" t="s">
        <v>627</v>
      </c>
      <c r="B12" s="7">
        <v>12438786</v>
      </c>
      <c r="C12" s="7">
        <v>16261518</v>
      </c>
      <c r="D12" s="78" t="s">
        <v>124</v>
      </c>
    </row>
    <row r="13" spans="1:8" x14ac:dyDescent="0.25">
      <c r="A13" s="18" t="s">
        <v>624</v>
      </c>
      <c r="B13" s="8">
        <v>16704738</v>
      </c>
      <c r="C13" s="8">
        <v>15414364</v>
      </c>
      <c r="D13" s="78" t="s">
        <v>115</v>
      </c>
    </row>
    <row r="14" spans="1:8" x14ac:dyDescent="0.25">
      <c r="A14" s="17" t="s">
        <v>628</v>
      </c>
      <c r="B14" s="7">
        <v>11488220</v>
      </c>
      <c r="C14" s="7">
        <v>14936326</v>
      </c>
      <c r="D14" s="78" t="s">
        <v>116</v>
      </c>
    </row>
    <row r="15" spans="1:8" x14ac:dyDescent="0.25">
      <c r="A15" s="18" t="s">
        <v>633</v>
      </c>
      <c r="B15" s="8">
        <v>5905445</v>
      </c>
      <c r="C15" s="8">
        <v>12364802</v>
      </c>
      <c r="D15" s="78" t="s">
        <v>118</v>
      </c>
    </row>
    <row r="16" spans="1:8" x14ac:dyDescent="0.25">
      <c r="A16" s="17" t="s">
        <v>629</v>
      </c>
      <c r="B16" s="7">
        <v>8592282</v>
      </c>
      <c r="C16" s="7">
        <v>11459564</v>
      </c>
      <c r="D16" s="78" t="s">
        <v>122</v>
      </c>
    </row>
    <row r="17" spans="1:4" x14ac:dyDescent="0.25">
      <c r="A17" s="18" t="s">
        <v>630</v>
      </c>
      <c r="B17" s="8">
        <v>7307486</v>
      </c>
      <c r="C17" s="8">
        <v>10450248</v>
      </c>
      <c r="D17" s="78" t="s">
        <v>117</v>
      </c>
    </row>
    <row r="18" spans="1:4" x14ac:dyDescent="0.25">
      <c r="A18" s="17" t="s">
        <v>631</v>
      </c>
      <c r="B18" s="7">
        <v>6610330</v>
      </c>
      <c r="C18" s="7">
        <v>7679816</v>
      </c>
      <c r="D18" s="78" t="s">
        <v>114</v>
      </c>
    </row>
    <row r="19" spans="1:4" x14ac:dyDescent="0.25">
      <c r="A19" s="18" t="s">
        <v>632</v>
      </c>
      <c r="B19" s="8">
        <v>5959009</v>
      </c>
      <c r="C19" s="8">
        <v>6629190</v>
      </c>
      <c r="D19" s="78" t="s">
        <v>352</v>
      </c>
    </row>
    <row r="20" spans="1:4" x14ac:dyDescent="0.25">
      <c r="A20" s="17" t="s">
        <v>635</v>
      </c>
      <c r="B20" s="7">
        <v>5589693</v>
      </c>
      <c r="C20" s="7">
        <v>6144080</v>
      </c>
      <c r="D20" s="78" t="s">
        <v>120</v>
      </c>
    </row>
    <row r="21" spans="1:4" x14ac:dyDescent="0.25">
      <c r="A21" s="18" t="s">
        <v>634</v>
      </c>
      <c r="B21" s="8">
        <v>5634097</v>
      </c>
      <c r="C21" s="8">
        <v>5574513</v>
      </c>
      <c r="D21" s="78" t="s">
        <v>113</v>
      </c>
    </row>
    <row r="22" spans="1:4" x14ac:dyDescent="0.25">
      <c r="A22" s="17" t="s">
        <v>636</v>
      </c>
      <c r="B22" s="7">
        <v>4242430</v>
      </c>
      <c r="C22" s="7">
        <v>4224579</v>
      </c>
      <c r="D22" s="78" t="s">
        <v>391</v>
      </c>
    </row>
    <row r="23" spans="1:4" x14ac:dyDescent="0.25">
      <c r="A23" s="18" t="s">
        <v>637</v>
      </c>
      <c r="B23" s="8">
        <v>3997756</v>
      </c>
      <c r="C23" s="8">
        <v>3757739</v>
      </c>
      <c r="D23" s="78" t="s">
        <v>393</v>
      </c>
    </row>
    <row r="24" spans="1:4" x14ac:dyDescent="0.25">
      <c r="A24" s="17" t="s">
        <v>638</v>
      </c>
      <c r="B24" s="7">
        <v>3508539</v>
      </c>
      <c r="C24" s="7">
        <v>3624986</v>
      </c>
      <c r="D24" s="78" t="s">
        <v>401</v>
      </c>
    </row>
    <row r="25" spans="1:4" x14ac:dyDescent="0.25">
      <c r="A25" s="18" t="s">
        <v>844</v>
      </c>
      <c r="B25" s="8">
        <v>1919215</v>
      </c>
      <c r="C25" s="8">
        <v>2808393</v>
      </c>
      <c r="D25" s="78" t="s">
        <v>235</v>
      </c>
    </row>
    <row r="26" spans="1:4" x14ac:dyDescent="0.25">
      <c r="A26" s="1"/>
      <c r="B26" s="21"/>
      <c r="C26" s="21"/>
    </row>
    <row r="27" spans="1:4" x14ac:dyDescent="0.25">
      <c r="B27" s="78" t="str">
        <f>RIGHT(B5,4)</f>
        <v>2017</v>
      </c>
      <c r="C27" s="78" t="str">
        <f>RIGHT(C5,4)</f>
        <v>2018</v>
      </c>
    </row>
  </sheetData>
  <sortState xmlns:xlrd2="http://schemas.microsoft.com/office/spreadsheetml/2017/richdata2" ref="A6:C25">
    <sortCondition descending="1" ref="C6:C25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Plan197"/>
  <dimension ref="A1:H27"/>
  <sheetViews>
    <sheetView showGridLines="0" workbookViewId="0">
      <selection activeCell="F3" sqref="F3"/>
    </sheetView>
  </sheetViews>
  <sheetFormatPr defaultRowHeight="15" x14ac:dyDescent="0.25"/>
  <cols>
    <col min="1" max="1" width="32.85546875" bestFit="1" customWidth="1"/>
    <col min="2" max="3" width="42.42578125" bestFit="1" customWidth="1"/>
  </cols>
  <sheetData>
    <row r="1" spans="1:8" x14ac:dyDescent="0.25">
      <c r="C1" s="78"/>
      <c r="D1" s="78"/>
      <c r="E1" s="78"/>
      <c r="F1" s="78" t="s">
        <v>19</v>
      </c>
      <c r="G1" s="78" t="s">
        <v>1278</v>
      </c>
      <c r="H1" s="78" t="s">
        <v>1279</v>
      </c>
    </row>
    <row r="3" spans="1:8" x14ac:dyDescent="0.25">
      <c r="A3" s="350" t="str">
        <f>"Tabela Referente à "&amp;G1</f>
        <v>Tabela Referente à Figura 3.59</v>
      </c>
      <c r="B3" s="350"/>
      <c r="C3" s="350"/>
    </row>
    <row r="4" spans="1:8" ht="28.5" customHeight="1" x14ac:dyDescent="0.25">
      <c r="A4" s="351" t="str">
        <f>H1</f>
        <v>Quantidade de carga paga e correio transportados nas 20 principais rotas internacionais com destino no Brasil, 2018</v>
      </c>
      <c r="B4" s="351"/>
      <c r="C4" s="351"/>
    </row>
    <row r="5" spans="1:8" x14ac:dyDescent="0.25">
      <c r="A5" s="1" t="s">
        <v>111</v>
      </c>
      <c r="B5" s="21" t="s">
        <v>607</v>
      </c>
      <c r="C5" s="21" t="s">
        <v>843</v>
      </c>
    </row>
    <row r="6" spans="1:8" x14ac:dyDescent="0.25">
      <c r="A6" s="17" t="s">
        <v>639</v>
      </c>
      <c r="B6" s="7">
        <v>171724416</v>
      </c>
      <c r="C6" s="7">
        <v>179639868</v>
      </c>
      <c r="D6" s="78" t="s">
        <v>127</v>
      </c>
    </row>
    <row r="7" spans="1:8" x14ac:dyDescent="0.25">
      <c r="A7" s="18" t="s">
        <v>642</v>
      </c>
      <c r="B7" s="8">
        <v>26553586</v>
      </c>
      <c r="C7" s="8">
        <v>32185211</v>
      </c>
      <c r="D7" s="78" t="s">
        <v>121</v>
      </c>
    </row>
    <row r="8" spans="1:8" x14ac:dyDescent="0.25">
      <c r="A8" s="17" t="s">
        <v>641</v>
      </c>
      <c r="B8" s="7">
        <v>24194758</v>
      </c>
      <c r="C8" s="7">
        <v>28666237</v>
      </c>
      <c r="D8" s="78" t="s">
        <v>113</v>
      </c>
    </row>
    <row r="9" spans="1:8" x14ac:dyDescent="0.25">
      <c r="A9" s="18" t="s">
        <v>640</v>
      </c>
      <c r="B9" s="8">
        <v>25527244</v>
      </c>
      <c r="C9" s="8">
        <v>26896878</v>
      </c>
      <c r="D9" s="78" t="s">
        <v>124</v>
      </c>
    </row>
    <row r="10" spans="1:8" x14ac:dyDescent="0.25">
      <c r="A10" s="17" t="s">
        <v>643</v>
      </c>
      <c r="B10" s="7">
        <v>23625455</v>
      </c>
      <c r="C10" s="7">
        <v>23794904</v>
      </c>
      <c r="D10" s="78" t="s">
        <v>352</v>
      </c>
    </row>
    <row r="11" spans="1:8" x14ac:dyDescent="0.25">
      <c r="A11" s="18" t="s">
        <v>644</v>
      </c>
      <c r="B11" s="8">
        <v>20977778</v>
      </c>
      <c r="C11" s="8">
        <v>21387265</v>
      </c>
      <c r="D11" s="78" t="s">
        <v>126</v>
      </c>
    </row>
    <row r="12" spans="1:8" x14ac:dyDescent="0.25">
      <c r="A12" s="17" t="s">
        <v>645</v>
      </c>
      <c r="B12" s="7">
        <v>16175323</v>
      </c>
      <c r="C12" s="7">
        <v>16700630</v>
      </c>
      <c r="D12" s="78" t="s">
        <v>123</v>
      </c>
    </row>
    <row r="13" spans="1:8" x14ac:dyDescent="0.25">
      <c r="A13" s="18" t="s">
        <v>646</v>
      </c>
      <c r="B13" s="8">
        <v>12733953</v>
      </c>
      <c r="C13" s="8">
        <v>14277965</v>
      </c>
      <c r="D13" s="78" t="s">
        <v>125</v>
      </c>
    </row>
    <row r="14" spans="1:8" x14ac:dyDescent="0.25">
      <c r="A14" s="17" t="s">
        <v>647</v>
      </c>
      <c r="B14" s="7">
        <v>11191742</v>
      </c>
      <c r="C14" s="7">
        <v>12755401</v>
      </c>
      <c r="D14" s="78" t="s">
        <v>122</v>
      </c>
    </row>
    <row r="15" spans="1:8" x14ac:dyDescent="0.25">
      <c r="A15" s="18" t="s">
        <v>648</v>
      </c>
      <c r="B15" s="8">
        <v>10496498</v>
      </c>
      <c r="C15" s="8">
        <v>11286466</v>
      </c>
      <c r="D15" s="78" t="s">
        <v>117</v>
      </c>
    </row>
    <row r="16" spans="1:8" x14ac:dyDescent="0.25">
      <c r="A16" s="17" t="s">
        <v>649</v>
      </c>
      <c r="B16" s="7">
        <v>8212367</v>
      </c>
      <c r="C16" s="7">
        <v>7970893</v>
      </c>
      <c r="D16" s="78" t="s">
        <v>118</v>
      </c>
    </row>
    <row r="17" spans="1:4" x14ac:dyDescent="0.25">
      <c r="A17" s="18" t="s">
        <v>653</v>
      </c>
      <c r="B17" s="8">
        <v>6018133</v>
      </c>
      <c r="C17" s="8">
        <v>7597861</v>
      </c>
      <c r="D17" s="78" t="s">
        <v>116</v>
      </c>
    </row>
    <row r="18" spans="1:4" x14ac:dyDescent="0.25">
      <c r="A18" s="17" t="s">
        <v>652</v>
      </c>
      <c r="B18" s="7">
        <v>6277347</v>
      </c>
      <c r="C18" s="7">
        <v>7509468</v>
      </c>
      <c r="D18" s="78" t="s">
        <v>114</v>
      </c>
    </row>
    <row r="19" spans="1:4" x14ac:dyDescent="0.25">
      <c r="A19" s="18" t="s">
        <v>650</v>
      </c>
      <c r="B19" s="8">
        <v>7598894</v>
      </c>
      <c r="C19" s="8">
        <v>7458112</v>
      </c>
      <c r="D19" s="78" t="s">
        <v>402</v>
      </c>
    </row>
    <row r="20" spans="1:4" x14ac:dyDescent="0.25">
      <c r="A20" s="17" t="s">
        <v>654</v>
      </c>
      <c r="B20" s="7">
        <v>4979381</v>
      </c>
      <c r="C20" s="7">
        <v>5469380</v>
      </c>
      <c r="D20" s="78" t="s">
        <v>120</v>
      </c>
    </row>
    <row r="21" spans="1:4" x14ac:dyDescent="0.25">
      <c r="A21" s="18" t="s">
        <v>656</v>
      </c>
      <c r="B21" s="8">
        <v>3541288</v>
      </c>
      <c r="C21" s="8">
        <v>4330607</v>
      </c>
      <c r="D21" s="78" t="s">
        <v>119</v>
      </c>
    </row>
    <row r="22" spans="1:4" x14ac:dyDescent="0.25">
      <c r="A22" s="17" t="s">
        <v>655</v>
      </c>
      <c r="B22" s="7">
        <v>4110353</v>
      </c>
      <c r="C22" s="7">
        <v>3800431</v>
      </c>
      <c r="D22" s="78" t="s">
        <v>391</v>
      </c>
    </row>
    <row r="23" spans="1:4" x14ac:dyDescent="0.25">
      <c r="A23" s="18" t="s">
        <v>651</v>
      </c>
      <c r="B23" s="8">
        <v>7127908</v>
      </c>
      <c r="C23" s="8">
        <v>3677693</v>
      </c>
      <c r="D23" s="78" t="s">
        <v>234</v>
      </c>
    </row>
    <row r="24" spans="1:4" x14ac:dyDescent="0.25">
      <c r="A24" s="17" t="s">
        <v>657</v>
      </c>
      <c r="B24" s="7">
        <v>3334346</v>
      </c>
      <c r="C24" s="7">
        <v>3563564</v>
      </c>
      <c r="D24" s="78" t="s">
        <v>401</v>
      </c>
    </row>
    <row r="25" spans="1:4" x14ac:dyDescent="0.25">
      <c r="A25" s="18" t="s">
        <v>658</v>
      </c>
      <c r="B25" s="8">
        <v>2588822</v>
      </c>
      <c r="C25" s="8">
        <v>2237327</v>
      </c>
      <c r="D25" s="78" t="s">
        <v>235</v>
      </c>
    </row>
    <row r="26" spans="1:4" x14ac:dyDescent="0.25">
      <c r="A26" s="1"/>
      <c r="B26" s="21"/>
      <c r="C26" s="21"/>
    </row>
    <row r="27" spans="1:4" x14ac:dyDescent="0.25">
      <c r="B27" s="78" t="str">
        <f>RIGHT(B5,4)</f>
        <v>2017</v>
      </c>
      <c r="C27" s="78" t="str">
        <f>RIGHT(C5,4)</f>
        <v>2018</v>
      </c>
    </row>
  </sheetData>
  <sortState xmlns:xlrd2="http://schemas.microsoft.com/office/spreadsheetml/2017/richdata2" ref="A6:C25">
    <sortCondition descending="1" ref="C6:C25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Plan143"/>
  <dimension ref="A1:N25"/>
  <sheetViews>
    <sheetView showGridLines="0" workbookViewId="0">
      <selection activeCell="H21" sqref="H21"/>
    </sheetView>
  </sheetViews>
  <sheetFormatPr defaultRowHeight="15" x14ac:dyDescent="0.25"/>
  <cols>
    <col min="1" max="1" width="40.140625" bestFit="1" customWidth="1"/>
    <col min="2" max="11" width="12.140625" customWidth="1"/>
    <col min="12" max="12" width="10.85546875" bestFit="1" customWidth="1"/>
    <col min="13" max="13" width="14.28515625" bestFit="1" customWidth="1"/>
  </cols>
  <sheetData>
    <row r="1" spans="1:14" x14ac:dyDescent="0.25">
      <c r="C1" s="78"/>
      <c r="D1" s="78"/>
      <c r="G1" s="78" t="s">
        <v>1280</v>
      </c>
      <c r="H1" s="78" t="s">
        <v>1281</v>
      </c>
    </row>
    <row r="3" spans="1:14" x14ac:dyDescent="0.25">
      <c r="A3" s="350" t="str">
        <f>"Tabela Referente à "&amp;G1</f>
        <v>Tabela Referente à Figura 3.60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</row>
    <row r="4" spans="1:14" ht="15" customHeight="1" x14ac:dyDescent="0.25">
      <c r="A4" s="351" t="str">
        <f>H1</f>
        <v>Evolução da quantidade de passageiros interestaduais transportados pelos modais aéreo e rodoviário, 2009 a 2018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</row>
    <row r="5" spans="1:14" x14ac:dyDescent="0.25">
      <c r="A5" s="1" t="s">
        <v>403</v>
      </c>
      <c r="B5" s="21">
        <f t="shared" ref="B5:J5" si="0">C5-1</f>
        <v>2007</v>
      </c>
      <c r="C5" s="21">
        <f t="shared" si="0"/>
        <v>2008</v>
      </c>
      <c r="D5" s="21">
        <f t="shared" si="0"/>
        <v>2009</v>
      </c>
      <c r="E5" s="21">
        <f t="shared" si="0"/>
        <v>2010</v>
      </c>
      <c r="F5" s="21">
        <f t="shared" si="0"/>
        <v>2011</v>
      </c>
      <c r="G5" s="21">
        <f t="shared" si="0"/>
        <v>2012</v>
      </c>
      <c r="H5" s="21">
        <f t="shared" si="0"/>
        <v>2013</v>
      </c>
      <c r="I5" s="21">
        <f t="shared" si="0"/>
        <v>2014</v>
      </c>
      <c r="J5" s="21">
        <f t="shared" si="0"/>
        <v>2015</v>
      </c>
      <c r="K5" s="21">
        <f>L5-1</f>
        <v>2016</v>
      </c>
      <c r="L5" s="21">
        <v>2017</v>
      </c>
      <c r="M5" s="21">
        <v>2018</v>
      </c>
    </row>
    <row r="6" spans="1:14" x14ac:dyDescent="0.25">
      <c r="A6" s="17" t="s">
        <v>731</v>
      </c>
      <c r="B6" s="142">
        <v>61931808</v>
      </c>
      <c r="C6" s="142">
        <v>58837177</v>
      </c>
      <c r="D6" s="142">
        <v>59347615</v>
      </c>
      <c r="E6" s="142">
        <v>59213793</v>
      </c>
      <c r="F6" s="142">
        <v>57125036</v>
      </c>
      <c r="G6" s="142">
        <v>58784409</v>
      </c>
      <c r="H6" s="142">
        <v>56789903</v>
      </c>
      <c r="I6" s="142">
        <v>52091057</v>
      </c>
      <c r="J6" s="142">
        <v>48284077</v>
      </c>
      <c r="K6" s="142">
        <v>42555644</v>
      </c>
      <c r="L6" s="142">
        <v>39511267</v>
      </c>
      <c r="M6" s="142">
        <v>41810806</v>
      </c>
    </row>
    <row r="7" spans="1:14" x14ac:dyDescent="0.25">
      <c r="A7" s="206" t="s">
        <v>541</v>
      </c>
      <c r="B7" s="143">
        <v>43488856</v>
      </c>
      <c r="C7" s="143">
        <v>46023863</v>
      </c>
      <c r="D7" s="143">
        <v>53115310</v>
      </c>
      <c r="E7" s="143">
        <v>65768309</v>
      </c>
      <c r="F7" s="143">
        <v>76567650</v>
      </c>
      <c r="G7" s="143">
        <v>80617735</v>
      </c>
      <c r="H7" s="143">
        <v>81152340</v>
      </c>
      <c r="I7" s="143">
        <v>85445793</v>
      </c>
      <c r="J7" s="143">
        <v>86674573</v>
      </c>
      <c r="K7" s="143">
        <v>80345739</v>
      </c>
      <c r="L7" s="205">
        <v>82022194</v>
      </c>
      <c r="M7" s="205">
        <v>86219336</v>
      </c>
      <c r="N7" s="11"/>
    </row>
    <row r="8" spans="1:14" x14ac:dyDescent="0.25">
      <c r="A8" s="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4" x14ac:dyDescent="0.25">
      <c r="B9" s="155">
        <f>B6/SUM(B6:B7)</f>
        <v>0.58747313524794342</v>
      </c>
      <c r="C9" s="155">
        <f t="shared" ref="C9:K9" si="1">C6/SUM(C6:C7)</f>
        <v>0.56109663798871345</v>
      </c>
      <c r="D9" s="155">
        <f t="shared" si="1"/>
        <v>0.52770826474591515</v>
      </c>
      <c r="E9" s="155">
        <f t="shared" si="1"/>
        <v>0.47377818145513345</v>
      </c>
      <c r="F9" s="155">
        <f t="shared" si="1"/>
        <v>0.42728617181047585</v>
      </c>
      <c r="G9" s="155">
        <f t="shared" si="1"/>
        <v>0.4216894182057917</v>
      </c>
      <c r="H9" s="155">
        <f t="shared" si="1"/>
        <v>0.41169334182857964</v>
      </c>
      <c r="I9" s="155">
        <f t="shared" si="1"/>
        <v>0.37874254790625206</v>
      </c>
      <c r="J9" s="155">
        <f t="shared" si="1"/>
        <v>0.35776941307578286</v>
      </c>
      <c r="K9" s="155">
        <f t="shared" si="1"/>
        <v>0.34625846317774961</v>
      </c>
      <c r="L9" s="155">
        <f>L6/SUM(L6:L7)</f>
        <v>0.32510607922208351</v>
      </c>
      <c r="M9" s="155">
        <f>M6/SUM(M6:M7)</f>
        <v>0.32657001973800825</v>
      </c>
    </row>
    <row r="10" spans="1:14" x14ac:dyDescent="0.25">
      <c r="B10" s="155">
        <f>1-B9</f>
        <v>0.41252686475205658</v>
      </c>
      <c r="C10" s="155">
        <f t="shared" ref="C10:L10" si="2">1-C9</f>
        <v>0.43890336201128655</v>
      </c>
      <c r="D10" s="155">
        <f t="shared" si="2"/>
        <v>0.47229173525408485</v>
      </c>
      <c r="E10" s="155">
        <f t="shared" si="2"/>
        <v>0.5262218185448666</v>
      </c>
      <c r="F10" s="155">
        <f t="shared" si="2"/>
        <v>0.5727138281895241</v>
      </c>
      <c r="G10" s="155">
        <f t="shared" si="2"/>
        <v>0.57831058179420824</v>
      </c>
      <c r="H10" s="155">
        <f t="shared" si="2"/>
        <v>0.58830665817142036</v>
      </c>
      <c r="I10" s="155">
        <f t="shared" si="2"/>
        <v>0.62125745209374794</v>
      </c>
      <c r="J10" s="155">
        <f t="shared" si="2"/>
        <v>0.64223058692421708</v>
      </c>
      <c r="K10" s="155">
        <f t="shared" si="2"/>
        <v>0.65374153682225034</v>
      </c>
      <c r="L10" s="155">
        <f t="shared" si="2"/>
        <v>0.67489392077791655</v>
      </c>
      <c r="M10" s="155">
        <f t="shared" ref="M10" si="3">1-M9</f>
        <v>0.67342998026199175</v>
      </c>
    </row>
    <row r="11" spans="1:14" x14ac:dyDescent="0.25">
      <c r="D11" s="78" t="s">
        <v>126</v>
      </c>
    </row>
    <row r="12" spans="1:14" x14ac:dyDescent="0.25">
      <c r="D12" s="78" t="s">
        <v>123</v>
      </c>
    </row>
    <row r="13" spans="1:14" x14ac:dyDescent="0.25">
      <c r="D13" s="78" t="s">
        <v>125</v>
      </c>
    </row>
    <row r="14" spans="1:14" x14ac:dyDescent="0.25">
      <c r="D14" s="78" t="s">
        <v>122</v>
      </c>
    </row>
    <row r="15" spans="1:14" x14ac:dyDescent="0.25">
      <c r="D15" s="78" t="s">
        <v>117</v>
      </c>
    </row>
    <row r="16" spans="1:14" x14ac:dyDescent="0.25">
      <c r="D16" s="78" t="s">
        <v>118</v>
      </c>
    </row>
    <row r="17" spans="4:4" x14ac:dyDescent="0.25">
      <c r="D17" s="78" t="s">
        <v>116</v>
      </c>
    </row>
    <row r="18" spans="4:4" x14ac:dyDescent="0.25">
      <c r="D18" s="78" t="s">
        <v>114</v>
      </c>
    </row>
    <row r="19" spans="4:4" x14ac:dyDescent="0.25">
      <c r="D19" s="78" t="s">
        <v>402</v>
      </c>
    </row>
    <row r="20" spans="4:4" x14ac:dyDescent="0.25">
      <c r="D20" s="78" t="s">
        <v>120</v>
      </c>
    </row>
    <row r="21" spans="4:4" x14ac:dyDescent="0.25">
      <c r="D21" s="78" t="s">
        <v>119</v>
      </c>
    </row>
    <row r="22" spans="4:4" x14ac:dyDescent="0.25">
      <c r="D22" s="78" t="s">
        <v>391</v>
      </c>
    </row>
    <row r="23" spans="4:4" x14ac:dyDescent="0.25">
      <c r="D23" s="78" t="s">
        <v>234</v>
      </c>
    </row>
    <row r="24" spans="4:4" x14ac:dyDescent="0.25">
      <c r="D24" s="78" t="s">
        <v>401</v>
      </c>
    </row>
    <row r="25" spans="4:4" x14ac:dyDescent="0.25">
      <c r="D25" s="78" t="s">
        <v>235</v>
      </c>
    </row>
  </sheetData>
  <mergeCells count="2">
    <mergeCell ref="A3:L3"/>
    <mergeCell ref="A4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Plan145"/>
  <dimension ref="A1:H8"/>
  <sheetViews>
    <sheetView showGridLines="0" workbookViewId="0">
      <selection activeCell="B6" sqref="B6"/>
    </sheetView>
  </sheetViews>
  <sheetFormatPr defaultRowHeight="15" x14ac:dyDescent="0.25"/>
  <cols>
    <col min="1" max="1" width="40.140625" bestFit="1" customWidth="1"/>
    <col min="2" max="2" width="13.140625" customWidth="1"/>
  </cols>
  <sheetData>
    <row r="1" spans="1:8" x14ac:dyDescent="0.25">
      <c r="C1" s="78"/>
      <c r="G1" s="78" t="s">
        <v>1282</v>
      </c>
      <c r="H1" s="78" t="s">
        <v>1283</v>
      </c>
    </row>
    <row r="3" spans="1:8" x14ac:dyDescent="0.25">
      <c r="A3" s="350" t="str">
        <f>"Tabela Referente à "&amp;G1</f>
        <v>Tabela Referente à Figura 3.61</v>
      </c>
      <c r="B3" s="350"/>
    </row>
    <row r="4" spans="1:8" ht="29.25" customHeight="1" x14ac:dyDescent="0.25">
      <c r="A4" s="351" t="str">
        <f>H1</f>
        <v>Participação dos modais aéreo e rodoviário no transporte interestadual de passageiros, 2018</v>
      </c>
      <c r="B4" s="351"/>
    </row>
    <row r="5" spans="1:8" x14ac:dyDescent="0.25">
      <c r="A5" s="1" t="s">
        <v>403</v>
      </c>
      <c r="B5" s="163" t="s">
        <v>877</v>
      </c>
    </row>
    <row r="6" spans="1:8" x14ac:dyDescent="0.25">
      <c r="A6" s="17" t="s">
        <v>731</v>
      </c>
      <c r="B6" s="76">
        <f>'Fig 3.60'!M9</f>
        <v>0.32657001973800825</v>
      </c>
    </row>
    <row r="7" spans="1:8" x14ac:dyDescent="0.25">
      <c r="A7" s="18" t="s">
        <v>730</v>
      </c>
      <c r="B7" s="77">
        <f>'Fig 3.60'!M10</f>
        <v>0.67342998026199175</v>
      </c>
    </row>
    <row r="8" spans="1:8" x14ac:dyDescent="0.25">
      <c r="A8" s="1"/>
      <c r="B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Plan147"/>
  <dimension ref="A1:H8"/>
  <sheetViews>
    <sheetView showGridLines="0" workbookViewId="0">
      <selection activeCell="G4" sqref="G4"/>
    </sheetView>
  </sheetViews>
  <sheetFormatPr defaultRowHeight="15" x14ac:dyDescent="0.25"/>
  <cols>
    <col min="1" max="1" width="40.140625" bestFit="1" customWidth="1"/>
  </cols>
  <sheetData>
    <row r="1" spans="1:8" x14ac:dyDescent="0.25">
      <c r="G1" s="78" t="s">
        <v>1284</v>
      </c>
      <c r="H1" s="78" t="s">
        <v>1285</v>
      </c>
    </row>
    <row r="3" spans="1:8" x14ac:dyDescent="0.25">
      <c r="A3" s="350" t="str">
        <f>"Tabela Referente à "&amp;G1</f>
        <v>Tabela Referente à Figura 3.62</v>
      </c>
      <c r="B3" s="350"/>
    </row>
    <row r="4" spans="1:8" ht="30.75" customHeight="1" x14ac:dyDescent="0.25">
      <c r="A4" s="351" t="str">
        <f>H1</f>
        <v>Participação dos modais aéreo e rodoviário no transporte interestadual de, 2009 e 2017</v>
      </c>
      <c r="B4" s="351"/>
      <c r="C4" s="351"/>
    </row>
    <row r="5" spans="1:8" x14ac:dyDescent="0.25">
      <c r="A5" s="1" t="s">
        <v>403</v>
      </c>
      <c r="B5" s="163">
        <f>'Fig 3.60'!D5</f>
        <v>2009</v>
      </c>
      <c r="C5" s="163">
        <f>'Fig 3.60'!L5</f>
        <v>2017</v>
      </c>
    </row>
    <row r="6" spans="1:8" x14ac:dyDescent="0.25">
      <c r="A6" s="17" t="s">
        <v>731</v>
      </c>
      <c r="B6" s="76">
        <f>'Fig 3.60'!$D6/SUM('Fig 3.60'!$D$6:$D$7)</f>
        <v>0.52770826474591515</v>
      </c>
      <c r="C6" s="76">
        <f>'Fig 3.60'!$L6/SUM('Fig 3.60'!$L$6:$L$7)</f>
        <v>0.32510607922208351</v>
      </c>
    </row>
    <row r="7" spans="1:8" x14ac:dyDescent="0.25">
      <c r="A7" s="18" t="s">
        <v>730</v>
      </c>
      <c r="B7" s="77">
        <f>'Fig 3.60'!$D7/SUM('Fig 3.60'!$D$6:$D$7)</f>
        <v>0.47229173525408485</v>
      </c>
      <c r="C7" s="77">
        <f>'Fig 3.60'!$L7/SUM('Fig 3.60'!$L$6:$L$7)</f>
        <v>0.67489392077791643</v>
      </c>
    </row>
    <row r="8" spans="1:8" x14ac:dyDescent="0.25">
      <c r="A8" s="1"/>
      <c r="B8" s="21"/>
      <c r="C8" s="21"/>
    </row>
  </sheetData>
  <mergeCells count="2">
    <mergeCell ref="A3:B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/>
  <dimension ref="A1:H18"/>
  <sheetViews>
    <sheetView showGridLines="0" workbookViewId="0">
      <selection activeCell="B6" sqref="B6"/>
    </sheetView>
  </sheetViews>
  <sheetFormatPr defaultRowHeight="15" x14ac:dyDescent="0.25"/>
  <cols>
    <col min="1" max="1" width="15.42578125" style="313" customWidth="1"/>
    <col min="2" max="2" width="19.5703125" style="313" customWidth="1"/>
    <col min="3" max="3" width="20.140625" style="313" customWidth="1"/>
    <col min="4" max="4" width="19.5703125" style="313" customWidth="1"/>
    <col min="5" max="16384" width="9.140625" style="313"/>
  </cols>
  <sheetData>
    <row r="1" spans="1:8" x14ac:dyDescent="0.25">
      <c r="C1" s="78"/>
      <c r="D1" s="78"/>
      <c r="E1" s="78"/>
      <c r="F1" s="78"/>
      <c r="G1" s="78" t="s">
        <v>246</v>
      </c>
      <c r="H1" s="78" t="s">
        <v>1133</v>
      </c>
    </row>
    <row r="3" spans="1:8" x14ac:dyDescent="0.25">
      <c r="A3" s="350" t="str">
        <f>"Tabela Referente à "&amp;G1</f>
        <v>Tabela Referente à Figura 2.1</v>
      </c>
      <c r="B3" s="350"/>
      <c r="C3" s="350"/>
      <c r="D3" s="350"/>
    </row>
    <row r="4" spans="1:8" ht="18.75" customHeight="1" x14ac:dyDescent="0.25">
      <c r="A4" s="351" t="str">
        <f>H1</f>
        <v>Evolução da quantidade de voos – mercados doméstico e internacional, 2009 a 2018</v>
      </c>
      <c r="B4" s="351"/>
      <c r="C4" s="351"/>
      <c r="D4" s="351"/>
    </row>
    <row r="5" spans="1:8" x14ac:dyDescent="0.25">
      <c r="A5" s="1" t="s">
        <v>20</v>
      </c>
      <c r="B5" s="21" t="s">
        <v>874</v>
      </c>
      <c r="C5" s="21" t="s">
        <v>43</v>
      </c>
      <c r="D5" s="21" t="s">
        <v>42</v>
      </c>
    </row>
    <row r="6" spans="1:8" x14ac:dyDescent="0.25">
      <c r="A6" s="17">
        <v>2009</v>
      </c>
      <c r="B6" s="23">
        <v>733624</v>
      </c>
      <c r="C6" s="23">
        <v>101124</v>
      </c>
      <c r="D6" s="23">
        <v>834748</v>
      </c>
      <c r="E6" s="145">
        <f>D6/1000</f>
        <v>834.74800000000005</v>
      </c>
      <c r="F6" s="78"/>
    </row>
    <row r="7" spans="1:8" x14ac:dyDescent="0.25">
      <c r="A7" s="18">
        <v>2010</v>
      </c>
      <c r="B7" s="26">
        <v>844718</v>
      </c>
      <c r="C7" s="24">
        <v>117472</v>
      </c>
      <c r="D7" s="24">
        <v>962190</v>
      </c>
      <c r="E7" s="145">
        <f t="shared" ref="E7:E15" si="0">D7/1000</f>
        <v>962.19</v>
      </c>
      <c r="F7" s="78"/>
    </row>
    <row r="8" spans="1:8" x14ac:dyDescent="0.25">
      <c r="A8" s="17">
        <v>2011</v>
      </c>
      <c r="B8" s="25">
        <v>958083</v>
      </c>
      <c r="C8" s="23">
        <v>135426</v>
      </c>
      <c r="D8" s="23">
        <v>1093509</v>
      </c>
      <c r="E8" s="145">
        <f t="shared" si="0"/>
        <v>1093.509</v>
      </c>
      <c r="F8" s="78"/>
    </row>
    <row r="9" spans="1:8" x14ac:dyDescent="0.25">
      <c r="A9" s="18">
        <v>2012</v>
      </c>
      <c r="B9" s="26">
        <v>990839</v>
      </c>
      <c r="C9" s="24">
        <v>142514</v>
      </c>
      <c r="D9" s="24">
        <v>1133353</v>
      </c>
      <c r="E9" s="145">
        <f t="shared" si="0"/>
        <v>1133.3530000000001</v>
      </c>
      <c r="F9" s="78"/>
    </row>
    <row r="10" spans="1:8" x14ac:dyDescent="0.25">
      <c r="A10" s="17">
        <v>2013</v>
      </c>
      <c r="B10" s="25">
        <v>946681</v>
      </c>
      <c r="C10" s="23">
        <v>144845</v>
      </c>
      <c r="D10" s="23">
        <v>1091526</v>
      </c>
      <c r="E10" s="145">
        <f t="shared" si="0"/>
        <v>1091.5260000000001</v>
      </c>
      <c r="F10" s="78"/>
    </row>
    <row r="11" spans="1:8" x14ac:dyDescent="0.25">
      <c r="A11" s="18">
        <v>2014</v>
      </c>
      <c r="B11" s="26">
        <v>941853</v>
      </c>
      <c r="C11" s="24">
        <v>149318</v>
      </c>
      <c r="D11" s="24">
        <v>1091171</v>
      </c>
      <c r="E11" s="145">
        <f t="shared" si="0"/>
        <v>1091.171</v>
      </c>
      <c r="F11" s="78"/>
    </row>
    <row r="12" spans="1:8" x14ac:dyDescent="0.25">
      <c r="A12" s="17">
        <v>2015</v>
      </c>
      <c r="B12" s="25">
        <v>935675</v>
      </c>
      <c r="C12" s="23">
        <v>147203</v>
      </c>
      <c r="D12" s="23">
        <v>1082878</v>
      </c>
      <c r="E12" s="145">
        <f t="shared" si="0"/>
        <v>1082.8779999999999</v>
      </c>
      <c r="F12" s="78"/>
    </row>
    <row r="13" spans="1:8" x14ac:dyDescent="0.25">
      <c r="A13" s="18">
        <v>2016</v>
      </c>
      <c r="B13" s="26">
        <v>828893</v>
      </c>
      <c r="C13" s="24">
        <v>135863</v>
      </c>
      <c r="D13" s="24">
        <v>964756</v>
      </c>
      <c r="E13" s="145">
        <f t="shared" si="0"/>
        <v>964.75599999999997</v>
      </c>
      <c r="F13" s="78"/>
    </row>
    <row r="14" spans="1:8" x14ac:dyDescent="0.25">
      <c r="A14" s="17">
        <v>2017</v>
      </c>
      <c r="B14" s="25">
        <v>805472</v>
      </c>
      <c r="C14" s="23">
        <v>135416</v>
      </c>
      <c r="D14" s="23">
        <v>940888</v>
      </c>
      <c r="E14" s="145">
        <f t="shared" si="0"/>
        <v>940.88800000000003</v>
      </c>
      <c r="F14" s="78"/>
    </row>
    <row r="15" spans="1:8" x14ac:dyDescent="0.25">
      <c r="A15" s="18">
        <v>2018</v>
      </c>
      <c r="B15" s="26">
        <v>815862</v>
      </c>
      <c r="C15" s="24">
        <v>151197</v>
      </c>
      <c r="D15" s="24">
        <v>967059</v>
      </c>
      <c r="E15" s="145">
        <f t="shared" si="0"/>
        <v>967.05899999999997</v>
      </c>
      <c r="F15" s="78"/>
    </row>
    <row r="16" spans="1:8" x14ac:dyDescent="0.25">
      <c r="A16" s="16"/>
      <c r="B16" s="9"/>
      <c r="C16" s="9"/>
      <c r="D16" s="9"/>
      <c r="E16" s="317"/>
      <c r="F16" s="114">
        <f>E14/E13-1</f>
        <v>-2.4739934242440476E-2</v>
      </c>
    </row>
    <row r="17" spans="2:6" x14ac:dyDescent="0.25">
      <c r="B17" s="114">
        <f>B15/B14-1</f>
        <v>1.2899269000039792E-2</v>
      </c>
      <c r="C17" s="114">
        <f>C15/C14-1</f>
        <v>0.11653718910616173</v>
      </c>
      <c r="D17" s="114"/>
      <c r="E17" s="78" t="str">
        <f>IF((D15/D6-1)&gt;0,"+","")&amp;ROUND((D15/D6-1)*100,1)&amp;"%"</f>
        <v>+15,9%</v>
      </c>
      <c r="F17" s="78"/>
    </row>
    <row r="18" spans="2:6" x14ac:dyDescent="0.25">
      <c r="B18" s="11"/>
      <c r="C18" s="11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Plan117"/>
  <dimension ref="A1:H24"/>
  <sheetViews>
    <sheetView showGridLines="0" workbookViewId="0">
      <selection activeCell="A5" sqref="A5:B15"/>
    </sheetView>
  </sheetViews>
  <sheetFormatPr defaultRowHeight="15" x14ac:dyDescent="0.25"/>
  <cols>
    <col min="1" max="1" width="8.5703125" bestFit="1" customWidth="1"/>
    <col min="2" max="2" width="44.140625" customWidth="1"/>
  </cols>
  <sheetData>
    <row r="1" spans="1:8" x14ac:dyDescent="0.25">
      <c r="C1" s="78"/>
      <c r="D1" s="78"/>
      <c r="E1" s="78"/>
      <c r="F1" s="78"/>
      <c r="G1" s="78" t="s">
        <v>294</v>
      </c>
      <c r="H1" s="78" t="s">
        <v>1286</v>
      </c>
    </row>
    <row r="3" spans="1:8" x14ac:dyDescent="0.25">
      <c r="A3" s="350" t="str">
        <f>"Tabela Referente à "&amp;G1</f>
        <v>Tabela Referente à Figura 4.1</v>
      </c>
      <c r="B3" s="350"/>
    </row>
    <row r="4" spans="1:8" ht="30.75" customHeight="1" x14ac:dyDescent="0.25">
      <c r="A4" s="351" t="str">
        <f>H1</f>
        <v>Evolução do aproveitamento em termos de RPK/ASK – mercados doméstico e internacional, 2009 a 2018</v>
      </c>
      <c r="B4" s="351"/>
    </row>
    <row r="5" spans="1:8" x14ac:dyDescent="0.25">
      <c r="A5" s="1" t="s">
        <v>20</v>
      </c>
      <c r="B5" s="21" t="s">
        <v>238</v>
      </c>
    </row>
    <row r="6" spans="1:8" x14ac:dyDescent="0.25">
      <c r="A6" s="17">
        <v>2009</v>
      </c>
      <c r="B6" s="10">
        <v>0.70632308915650333</v>
      </c>
    </row>
    <row r="7" spans="1:8" x14ac:dyDescent="0.25">
      <c r="A7" s="18">
        <v>2010</v>
      </c>
      <c r="B7" s="11">
        <v>0.74422386393978701</v>
      </c>
    </row>
    <row r="8" spans="1:8" x14ac:dyDescent="0.25">
      <c r="A8" s="17">
        <v>2011</v>
      </c>
      <c r="B8" s="10">
        <v>0.75444235587120279</v>
      </c>
    </row>
    <row r="9" spans="1:8" x14ac:dyDescent="0.25">
      <c r="A9" s="18">
        <v>2012</v>
      </c>
      <c r="B9" s="11">
        <v>0.76597162477900316</v>
      </c>
    </row>
    <row r="10" spans="1:8" x14ac:dyDescent="0.25">
      <c r="A10" s="17">
        <v>2013</v>
      </c>
      <c r="B10" s="10">
        <v>0.78079637037481864</v>
      </c>
    </row>
    <row r="11" spans="1:8" x14ac:dyDescent="0.25">
      <c r="A11" s="18">
        <v>2014</v>
      </c>
      <c r="B11" s="11">
        <v>0.79786719614082746</v>
      </c>
      <c r="C11" s="78"/>
    </row>
    <row r="12" spans="1:8" x14ac:dyDescent="0.25">
      <c r="A12" s="17">
        <v>2015</v>
      </c>
      <c r="B12" s="10">
        <v>0.79151143992334794</v>
      </c>
      <c r="C12" s="78"/>
    </row>
    <row r="13" spans="1:8" x14ac:dyDescent="0.25">
      <c r="A13" s="18">
        <v>2016</v>
      </c>
      <c r="B13" s="11">
        <v>0.80717379502111941</v>
      </c>
      <c r="C13" s="78"/>
    </row>
    <row r="14" spans="1:8" x14ac:dyDescent="0.25">
      <c r="A14" s="17">
        <v>2017</v>
      </c>
      <c r="B14" s="10">
        <v>0.83143302202183855</v>
      </c>
      <c r="C14" s="78"/>
    </row>
    <row r="15" spans="1:8" x14ac:dyDescent="0.25">
      <c r="A15" s="18">
        <v>2018</v>
      </c>
      <c r="B15" s="11">
        <v>0.81805451993848599</v>
      </c>
      <c r="C15" s="115">
        <f>B15/B14-1</f>
        <v>-1.6090895753477996E-2</v>
      </c>
    </row>
    <row r="16" spans="1:8" x14ac:dyDescent="0.25">
      <c r="A16" s="1"/>
      <c r="B16" s="21"/>
      <c r="C16" s="78"/>
    </row>
    <row r="17" spans="2:2" x14ac:dyDescent="0.25">
      <c r="B17" s="115">
        <f>B15/B6-1</f>
        <v>0.15818742512780259</v>
      </c>
    </row>
    <row r="18" spans="2:2" x14ac:dyDescent="0.25">
      <c r="B18" s="78"/>
    </row>
    <row r="19" spans="2:2" x14ac:dyDescent="0.25">
      <c r="B19" s="78"/>
    </row>
    <row r="20" spans="2:2" x14ac:dyDescent="0.25">
      <c r="B20" s="78"/>
    </row>
    <row r="21" spans="2:2" x14ac:dyDescent="0.25">
      <c r="B21" s="78"/>
    </row>
    <row r="22" spans="2:2" x14ac:dyDescent="0.25">
      <c r="B22" s="78"/>
    </row>
    <row r="23" spans="2:2" x14ac:dyDescent="0.25">
      <c r="B23" s="78"/>
    </row>
    <row r="24" spans="2:2" x14ac:dyDescent="0.25">
      <c r="B24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Plan118"/>
  <dimension ref="A1:H16"/>
  <sheetViews>
    <sheetView showGridLines="0" workbookViewId="0">
      <selection activeCell="F3" sqref="F3"/>
    </sheetView>
  </sheetViews>
  <sheetFormatPr defaultRowHeight="15" x14ac:dyDescent="0.25"/>
  <cols>
    <col min="1" max="1" width="23.5703125" customWidth="1"/>
    <col min="2" max="2" width="31.28515625" customWidth="1"/>
  </cols>
  <sheetData>
    <row r="1" spans="1:8" x14ac:dyDescent="0.25">
      <c r="C1" s="78"/>
      <c r="D1" s="78"/>
      <c r="E1" s="78"/>
      <c r="F1" s="78"/>
      <c r="G1" s="78" t="s">
        <v>295</v>
      </c>
      <c r="H1" s="78" t="s">
        <v>1287</v>
      </c>
    </row>
    <row r="3" spans="1:8" x14ac:dyDescent="0.25">
      <c r="A3" s="350" t="str">
        <f>"Tabela Referente à "&amp;G1</f>
        <v>Tabela Referente à Figura 4.2</v>
      </c>
      <c r="B3" s="350"/>
    </row>
    <row r="4" spans="1:8" ht="31.5" customHeight="1" x14ac:dyDescent="0.25">
      <c r="A4" s="351" t="str">
        <f>H1</f>
        <v>Variação do aproveitamento RPK/ASK com relação ao ano anterior – mercados doméstico e internacional, 2009 a 2018</v>
      </c>
      <c r="B4" s="351"/>
    </row>
    <row r="5" spans="1:8" x14ac:dyDescent="0.25">
      <c r="A5" s="1" t="s">
        <v>20</v>
      </c>
      <c r="B5" s="21" t="s">
        <v>819</v>
      </c>
    </row>
    <row r="6" spans="1:8" x14ac:dyDescent="0.25">
      <c r="A6" s="17">
        <v>2009</v>
      </c>
      <c r="B6" s="10">
        <v>-3.0344175663233566E-2</v>
      </c>
    </row>
    <row r="7" spans="1:8" x14ac:dyDescent="0.25">
      <c r="A7" s="18">
        <v>2010</v>
      </c>
      <c r="B7" s="11">
        <v>5.3659260705387804E-2</v>
      </c>
    </row>
    <row r="8" spans="1:8" x14ac:dyDescent="0.25">
      <c r="A8" s="17">
        <v>2011</v>
      </c>
      <c r="B8" s="10">
        <v>1.3730400792741205E-2</v>
      </c>
    </row>
    <row r="9" spans="1:8" x14ac:dyDescent="0.25">
      <c r="A9" s="18">
        <v>2012</v>
      </c>
      <c r="B9" s="11">
        <v>1.5281842036144416E-2</v>
      </c>
    </row>
    <row r="10" spans="1:8" x14ac:dyDescent="0.25">
      <c r="A10" s="17">
        <v>2013</v>
      </c>
      <c r="B10" s="10">
        <v>1.9354170724134451E-2</v>
      </c>
    </row>
    <row r="11" spans="1:8" x14ac:dyDescent="0.25">
      <c r="A11" s="18">
        <v>2014</v>
      </c>
      <c r="B11" s="11">
        <v>2.1863351846543588E-2</v>
      </c>
    </row>
    <row r="12" spans="1:8" x14ac:dyDescent="0.25">
      <c r="A12" s="17">
        <v>2015</v>
      </c>
      <c r="B12" s="10">
        <v>-7.9659324862852276E-3</v>
      </c>
    </row>
    <row r="13" spans="1:8" x14ac:dyDescent="0.25">
      <c r="A13" s="18">
        <v>2016</v>
      </c>
      <c r="B13" s="11">
        <v>1.9787907423407875E-2</v>
      </c>
    </row>
    <row r="14" spans="1:8" x14ac:dyDescent="0.25">
      <c r="A14" s="17">
        <v>2017</v>
      </c>
      <c r="B14" s="10">
        <v>3.0054527476433258E-2</v>
      </c>
    </row>
    <row r="15" spans="1:8" x14ac:dyDescent="0.25">
      <c r="A15" s="18">
        <v>2018</v>
      </c>
      <c r="B15" s="11">
        <v>-1.6090895753477975E-2</v>
      </c>
    </row>
    <row r="16" spans="1:8" x14ac:dyDescent="0.25">
      <c r="A16" s="1"/>
      <c r="B16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Plan119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3.7109375" customWidth="1"/>
    <col min="2" max="2" width="37.85546875" customWidth="1"/>
  </cols>
  <sheetData>
    <row r="1" spans="1:8" x14ac:dyDescent="0.25">
      <c r="C1" s="78"/>
      <c r="D1" s="78"/>
      <c r="E1" s="78"/>
      <c r="F1" s="78"/>
      <c r="G1" s="78" t="s">
        <v>296</v>
      </c>
      <c r="H1" s="78" t="s">
        <v>1288</v>
      </c>
    </row>
    <row r="3" spans="1:8" x14ac:dyDescent="0.25">
      <c r="A3" s="350" t="str">
        <f>"Tabela Referente à "&amp;G1</f>
        <v>Tabela Referente à Figura 4.3</v>
      </c>
      <c r="B3" s="350"/>
    </row>
    <row r="4" spans="1:8" ht="30" customHeight="1" x14ac:dyDescent="0.25">
      <c r="A4" s="351" t="str">
        <f>H1</f>
        <v>Aproveitamento RPK/ASK mensal – mercados doméstico e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0.86018813803414507</v>
      </c>
      <c r="C6" s="78">
        <v>1</v>
      </c>
    </row>
    <row r="7" spans="1:8" x14ac:dyDescent="0.25">
      <c r="A7" s="18" t="s">
        <v>48</v>
      </c>
      <c r="B7" s="11">
        <v>0.81960473767868236</v>
      </c>
      <c r="C7" s="78">
        <v>2</v>
      </c>
    </row>
    <row r="8" spans="1:8" x14ac:dyDescent="0.25">
      <c r="A8" s="17" t="s">
        <v>49</v>
      </c>
      <c r="B8" s="10">
        <v>0.80465806241632698</v>
      </c>
      <c r="C8" s="78">
        <v>3</v>
      </c>
    </row>
    <row r="9" spans="1:8" x14ac:dyDescent="0.25">
      <c r="A9" s="18" t="s">
        <v>50</v>
      </c>
      <c r="B9" s="11">
        <v>0.81266209999750505</v>
      </c>
      <c r="C9" s="78">
        <v>4</v>
      </c>
    </row>
    <row r="10" spans="1:8" x14ac:dyDescent="0.25">
      <c r="A10" s="17" t="s">
        <v>51</v>
      </c>
      <c r="B10" s="10">
        <v>0.80362741685440575</v>
      </c>
      <c r="C10" s="78">
        <v>5</v>
      </c>
    </row>
    <row r="11" spans="1:8" x14ac:dyDescent="0.25">
      <c r="A11" s="18" t="s">
        <v>52</v>
      </c>
      <c r="B11" s="11">
        <v>0.79980942586443804</v>
      </c>
      <c r="C11" s="78">
        <v>6</v>
      </c>
    </row>
    <row r="12" spans="1:8" x14ac:dyDescent="0.25">
      <c r="A12" s="17" t="s">
        <v>53</v>
      </c>
      <c r="B12" s="10">
        <v>0.84156420532610554</v>
      </c>
      <c r="C12" s="78">
        <v>7</v>
      </c>
    </row>
    <row r="13" spans="1:8" x14ac:dyDescent="0.25">
      <c r="A13" s="18" t="s">
        <v>54</v>
      </c>
      <c r="B13" s="11">
        <v>0.80750551794550995</v>
      </c>
      <c r="C13" s="78">
        <v>8</v>
      </c>
    </row>
    <row r="14" spans="1:8" x14ac:dyDescent="0.25">
      <c r="A14" s="17" t="s">
        <v>55</v>
      </c>
      <c r="B14" s="10">
        <v>0.8131085825626243</v>
      </c>
      <c r="C14" s="78">
        <v>9</v>
      </c>
    </row>
    <row r="15" spans="1:8" x14ac:dyDescent="0.25">
      <c r="A15" s="18" t="s">
        <v>56</v>
      </c>
      <c r="B15" s="11">
        <v>0.80575185998892096</v>
      </c>
      <c r="C15" s="78">
        <v>10</v>
      </c>
    </row>
    <row r="16" spans="1:8" x14ac:dyDescent="0.25">
      <c r="A16" s="17" t="s">
        <v>57</v>
      </c>
      <c r="B16" s="10">
        <v>0.80880115734818492</v>
      </c>
      <c r="C16" s="78">
        <v>11</v>
      </c>
    </row>
    <row r="17" spans="1:3" x14ac:dyDescent="0.25">
      <c r="A17" s="18" t="s">
        <v>58</v>
      </c>
      <c r="B17" s="11">
        <v>0.8307591428322868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Plan170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3.7109375" customWidth="1"/>
    <col min="2" max="2" width="37.85546875" customWidth="1"/>
  </cols>
  <sheetData>
    <row r="1" spans="1:8" x14ac:dyDescent="0.25">
      <c r="C1" s="78"/>
      <c r="D1" s="78"/>
      <c r="E1" s="78"/>
      <c r="F1" s="78"/>
      <c r="G1" s="78" t="s">
        <v>297</v>
      </c>
      <c r="H1" s="78" t="s">
        <v>1289</v>
      </c>
    </row>
    <row r="3" spans="1:8" x14ac:dyDescent="0.25">
      <c r="A3" s="350" t="str">
        <f>"Tabela Referente à "&amp;G1</f>
        <v>Tabela Referente à Figura 4.4</v>
      </c>
      <c r="B3" s="350"/>
    </row>
    <row r="4" spans="1:8" ht="30" customHeight="1" x14ac:dyDescent="0.25">
      <c r="A4" s="351" t="str">
        <f>H1</f>
        <v>Variação do aproveitamento RPK/ASK com relação ao mesmo mês do ano anterior – mercados doméstico e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-4.826850962991193E-6</v>
      </c>
      <c r="C6" s="78">
        <v>1</v>
      </c>
    </row>
    <row r="7" spans="1:8" x14ac:dyDescent="0.25">
      <c r="A7" s="18" t="s">
        <v>48</v>
      </c>
      <c r="B7" s="11">
        <v>5.9492118178988721E-3</v>
      </c>
      <c r="C7" s="78">
        <v>2</v>
      </c>
    </row>
    <row r="8" spans="1:8" x14ac:dyDescent="0.25">
      <c r="A8" s="17" t="s">
        <v>49</v>
      </c>
      <c r="B8" s="10">
        <v>-5.4886657404240964E-3</v>
      </c>
      <c r="C8" s="78">
        <v>3</v>
      </c>
    </row>
    <row r="9" spans="1:8" x14ac:dyDescent="0.25">
      <c r="A9" s="18" t="s">
        <v>50</v>
      </c>
      <c r="B9" s="11">
        <v>-5.1735257799646918E-3</v>
      </c>
      <c r="C9" s="78">
        <v>4</v>
      </c>
    </row>
    <row r="10" spans="1:8" x14ac:dyDescent="0.25">
      <c r="A10" s="17" t="s">
        <v>51</v>
      </c>
      <c r="B10" s="10">
        <v>-7.9722205072400489E-3</v>
      </c>
      <c r="C10" s="78">
        <v>5</v>
      </c>
    </row>
    <row r="11" spans="1:8" x14ac:dyDescent="0.25">
      <c r="A11" s="18" t="s">
        <v>52</v>
      </c>
      <c r="B11" s="11">
        <v>-2.6772011725565668E-2</v>
      </c>
      <c r="C11" s="78">
        <v>6</v>
      </c>
    </row>
    <row r="12" spans="1:8" x14ac:dyDescent="0.25">
      <c r="A12" s="17" t="s">
        <v>53</v>
      </c>
      <c r="B12" s="10">
        <v>-2.1826234359712701E-2</v>
      </c>
      <c r="C12" s="78">
        <v>7</v>
      </c>
    </row>
    <row r="13" spans="1:8" x14ac:dyDescent="0.25">
      <c r="A13" s="18" t="s">
        <v>54</v>
      </c>
      <c r="B13" s="11">
        <v>-1.7963324444895207E-2</v>
      </c>
      <c r="C13" s="78">
        <v>8</v>
      </c>
    </row>
    <row r="14" spans="1:8" x14ac:dyDescent="0.25">
      <c r="A14" s="17" t="s">
        <v>55</v>
      </c>
      <c r="B14" s="10">
        <v>-5.0077920082019778E-2</v>
      </c>
      <c r="C14" s="78">
        <v>9</v>
      </c>
    </row>
    <row r="15" spans="1:8" x14ac:dyDescent="0.25">
      <c r="A15" s="18" t="s">
        <v>56</v>
      </c>
      <c r="B15" s="11">
        <v>-5.2970202574317497E-2</v>
      </c>
      <c r="C15" s="78">
        <v>10</v>
      </c>
    </row>
    <row r="16" spans="1:8" x14ac:dyDescent="0.25">
      <c r="A16" s="17" t="s">
        <v>57</v>
      </c>
      <c r="B16" s="10">
        <v>-7.1854419167128236E-3</v>
      </c>
      <c r="C16" s="78">
        <v>11</v>
      </c>
    </row>
    <row r="17" spans="1:3" x14ac:dyDescent="0.25">
      <c r="A17" s="18" t="s">
        <v>58</v>
      </c>
      <c r="B17" s="11">
        <v>-1.5452449612199919E-3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Plan120"/>
  <dimension ref="A1:H18"/>
  <sheetViews>
    <sheetView showGridLines="0" workbookViewId="0">
      <selection activeCell="I34" sqref="I34"/>
    </sheetView>
  </sheetViews>
  <sheetFormatPr defaultRowHeight="15" x14ac:dyDescent="0.25"/>
  <cols>
    <col min="1" max="1" width="10.28515625" customWidth="1"/>
    <col min="2" max="3" width="30.7109375" customWidth="1"/>
  </cols>
  <sheetData>
    <row r="1" spans="1:8" x14ac:dyDescent="0.25">
      <c r="C1" s="78"/>
      <c r="D1" s="78"/>
      <c r="E1" s="78"/>
      <c r="F1" s="78"/>
      <c r="G1" s="78" t="s">
        <v>298</v>
      </c>
      <c r="H1" s="78" t="s">
        <v>1290</v>
      </c>
    </row>
    <row r="3" spans="1:8" x14ac:dyDescent="0.25">
      <c r="A3" s="350" t="str">
        <f>"Tabela Referente à "&amp;G1</f>
        <v>Tabela Referente à Figura 4.5</v>
      </c>
      <c r="B3" s="350"/>
      <c r="C3" s="350"/>
    </row>
    <row r="4" spans="1:8" ht="31.5" customHeight="1" x14ac:dyDescent="0.25">
      <c r="A4" s="351" t="str">
        <f>H1</f>
        <v>Aproveitamento em termos de Horas Voadas por Aeronave-Dia Disponível por empresa – mercados doméstico e internacional, 2017 (esquerda) e 2018 (direita)</v>
      </c>
      <c r="B4" s="351"/>
      <c r="C4" s="351"/>
    </row>
    <row r="5" spans="1:8" x14ac:dyDescent="0.25">
      <c r="A5" s="1" t="s">
        <v>7</v>
      </c>
      <c r="B5" s="1">
        <v>2017</v>
      </c>
      <c r="C5" s="21">
        <v>2018</v>
      </c>
    </row>
    <row r="6" spans="1:8" x14ac:dyDescent="0.25">
      <c r="A6" s="17" t="s">
        <v>526</v>
      </c>
      <c r="B6" s="188">
        <v>9.6755969822248495</v>
      </c>
      <c r="C6" s="189">
        <v>9.4508451717001627</v>
      </c>
    </row>
    <row r="7" spans="1:8" x14ac:dyDescent="0.25">
      <c r="A7" s="18" t="s">
        <v>59</v>
      </c>
      <c r="B7" s="190">
        <v>11.815640252194333</v>
      </c>
      <c r="C7" s="191">
        <v>11.66391137083029</v>
      </c>
    </row>
    <row r="8" spans="1:8" x14ac:dyDescent="0.25">
      <c r="A8" s="17" t="s">
        <v>60</v>
      </c>
      <c r="B8" s="188">
        <v>9.0438356103322999</v>
      </c>
      <c r="C8" s="189">
        <v>9.2658664271508293</v>
      </c>
    </row>
    <row r="9" spans="1:8" x14ac:dyDescent="0.25">
      <c r="A9" s="18" t="s">
        <v>818</v>
      </c>
      <c r="B9" s="190">
        <v>0</v>
      </c>
      <c r="C9" s="191">
        <v>0.83777808219178107</v>
      </c>
    </row>
    <row r="10" spans="1:8" x14ac:dyDescent="0.25">
      <c r="A10" s="17" t="s">
        <v>102</v>
      </c>
      <c r="B10" s="188">
        <v>12.316922480620159</v>
      </c>
      <c r="C10" s="189">
        <v>12.730459599703492</v>
      </c>
    </row>
    <row r="11" spans="1:8" x14ac:dyDescent="0.25">
      <c r="A11" s="18" t="s">
        <v>721</v>
      </c>
      <c r="B11" s="190">
        <v>1.166543665436653</v>
      </c>
      <c r="C11" s="191">
        <v>2.0227374872318693</v>
      </c>
    </row>
    <row r="12" spans="1:8" x14ac:dyDescent="0.25">
      <c r="A12" s="17" t="s">
        <v>394</v>
      </c>
      <c r="B12" s="188">
        <v>5.2817164898746416</v>
      </c>
      <c r="C12" s="189">
        <v>7.1038853503184702</v>
      </c>
    </row>
    <row r="13" spans="1:8" x14ac:dyDescent="0.25">
      <c r="A13" s="18" t="s">
        <v>62</v>
      </c>
      <c r="B13" s="190">
        <v>11.842172661870501</v>
      </c>
      <c r="C13" s="191">
        <v>10.89933156498674</v>
      </c>
    </row>
    <row r="14" spans="1:8" x14ac:dyDescent="0.25">
      <c r="A14" s="17" t="s">
        <v>414</v>
      </c>
      <c r="B14" s="188">
        <v>3.8456906729633995</v>
      </c>
      <c r="C14" s="189">
        <v>3.6411985018726587</v>
      </c>
    </row>
    <row r="15" spans="1:8" x14ac:dyDescent="0.25">
      <c r="A15" s="18" t="s">
        <v>399</v>
      </c>
      <c r="B15" s="190">
        <v>3.0578051948051939</v>
      </c>
      <c r="C15" s="191">
        <v>3.0957876712328769</v>
      </c>
    </row>
    <row r="16" spans="1:8" x14ac:dyDescent="0.25">
      <c r="A16" s="17" t="s">
        <v>415</v>
      </c>
      <c r="B16" s="188">
        <v>0.19786301369863013</v>
      </c>
      <c r="C16" s="189">
        <v>0</v>
      </c>
    </row>
    <row r="17" spans="1:4" x14ac:dyDescent="0.25">
      <c r="A17" s="18" t="s">
        <v>447</v>
      </c>
      <c r="B17" s="190">
        <v>0.81927777777777788</v>
      </c>
      <c r="C17" s="191">
        <v>0</v>
      </c>
    </row>
    <row r="18" spans="1:4" x14ac:dyDescent="0.25">
      <c r="A18" s="1" t="s">
        <v>10</v>
      </c>
      <c r="B18" s="192">
        <v>9.805532595011849</v>
      </c>
      <c r="C18" s="193">
        <v>9.5434543330674675</v>
      </c>
      <c r="D18" s="114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Plan121"/>
  <dimension ref="A1:H14"/>
  <sheetViews>
    <sheetView showGridLines="0" workbookViewId="0">
      <selection activeCell="A5" sqref="A5:C13"/>
    </sheetView>
  </sheetViews>
  <sheetFormatPr defaultRowHeight="15" x14ac:dyDescent="0.25"/>
  <cols>
    <col min="1" max="1" width="31.7109375" bestFit="1" customWidth="1"/>
    <col min="2" max="3" width="18.5703125" customWidth="1"/>
  </cols>
  <sheetData>
    <row r="1" spans="1:8" x14ac:dyDescent="0.25">
      <c r="C1" s="78"/>
      <c r="D1" s="78"/>
      <c r="E1" s="78"/>
      <c r="F1" s="78"/>
      <c r="G1" s="78" t="s">
        <v>299</v>
      </c>
      <c r="H1" s="78" t="s">
        <v>1291</v>
      </c>
    </row>
    <row r="3" spans="1:8" x14ac:dyDescent="0.25">
      <c r="A3" s="350" t="str">
        <f>"Tabela Referente à "&amp;G1</f>
        <v>Tabela Referente à Figura 4.6</v>
      </c>
      <c r="B3" s="350"/>
      <c r="C3" s="350"/>
    </row>
    <row r="4" spans="1:8" ht="30.75" customHeight="1" x14ac:dyDescent="0.25">
      <c r="A4" s="351" t="str">
        <f>H1</f>
        <v>Aproveitamento em termos de Horas Voadas por Aeronave-Dia Disponível por configuração da aeronave – empresas brasileiras, 2017 e 2018</v>
      </c>
      <c r="B4" s="351"/>
      <c r="C4" s="351"/>
    </row>
    <row r="5" spans="1:8" x14ac:dyDescent="0.25">
      <c r="A5" s="1" t="s">
        <v>7</v>
      </c>
      <c r="B5" s="1">
        <v>2017</v>
      </c>
      <c r="C5" s="21">
        <v>2018</v>
      </c>
    </row>
    <row r="6" spans="1:8" x14ac:dyDescent="0.25">
      <c r="A6" s="17" t="s">
        <v>38</v>
      </c>
      <c r="B6" s="80">
        <v>5.377409757667726</v>
      </c>
      <c r="C6" s="4">
        <v>5.2882946635730868</v>
      </c>
    </row>
    <row r="7" spans="1:8" x14ac:dyDescent="0.25">
      <c r="A7" s="18" t="s">
        <v>39</v>
      </c>
      <c r="B7" s="79">
        <v>3.5155286195286193</v>
      </c>
      <c r="C7" s="5">
        <v>1.825149270482604</v>
      </c>
    </row>
    <row r="8" spans="1:8" x14ac:dyDescent="0.25">
      <c r="A8" s="17" t="s">
        <v>40</v>
      </c>
      <c r="B8" s="80">
        <v>6.8681729514816432</v>
      </c>
      <c r="C8" s="4">
        <v>6.512531761544099</v>
      </c>
    </row>
    <row r="9" spans="1:8" x14ac:dyDescent="0.25">
      <c r="A9" s="18" t="s">
        <v>423</v>
      </c>
      <c r="B9" s="79">
        <v>9.4255402808263078</v>
      </c>
      <c r="C9" s="5">
        <v>9.4827593994951478</v>
      </c>
    </row>
    <row r="10" spans="1:8" x14ac:dyDescent="0.25">
      <c r="A10" s="17" t="s">
        <v>424</v>
      </c>
      <c r="B10" s="80">
        <v>10.808713649798793</v>
      </c>
      <c r="C10" s="4">
        <v>11.146622725183203</v>
      </c>
    </row>
    <row r="11" spans="1:8" x14ac:dyDescent="0.25">
      <c r="A11" s="18" t="s">
        <v>425</v>
      </c>
      <c r="B11" s="79">
        <v>10.653182520725025</v>
      </c>
      <c r="C11" s="5">
        <v>9.4154176682692299</v>
      </c>
    </row>
    <row r="12" spans="1:8" x14ac:dyDescent="0.25">
      <c r="A12" s="17" t="s">
        <v>426</v>
      </c>
      <c r="B12" s="80">
        <v>9.6253933463796475</v>
      </c>
      <c r="C12" s="4">
        <v>12.433616438356166</v>
      </c>
    </row>
    <row r="13" spans="1:8" x14ac:dyDescent="0.25">
      <c r="A13" s="18" t="s">
        <v>427</v>
      </c>
      <c r="B13" s="79">
        <v>11.237917465442438</v>
      </c>
      <c r="C13" s="5">
        <v>10.764315771170232</v>
      </c>
    </row>
    <row r="14" spans="1:8" x14ac:dyDescent="0.25">
      <c r="A14" s="135"/>
      <c r="B14" s="135"/>
      <c r="C14" s="136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Plan122"/>
  <dimension ref="A1:H17"/>
  <sheetViews>
    <sheetView showGridLines="0" workbookViewId="0"/>
  </sheetViews>
  <sheetFormatPr defaultRowHeight="15" x14ac:dyDescent="0.25"/>
  <cols>
    <col min="1" max="1" width="19.5703125" customWidth="1"/>
    <col min="2" max="2" width="30.5703125" customWidth="1"/>
  </cols>
  <sheetData>
    <row r="1" spans="1:8" x14ac:dyDescent="0.25">
      <c r="C1" s="78"/>
      <c r="D1" s="78"/>
      <c r="E1" s="78"/>
      <c r="F1" s="78"/>
      <c r="G1" s="78" t="s">
        <v>300</v>
      </c>
      <c r="H1" s="78" t="s">
        <v>1292</v>
      </c>
    </row>
    <row r="3" spans="1:8" x14ac:dyDescent="0.25">
      <c r="A3" s="350" t="str">
        <f>"Tabela Referente à "&amp;G1</f>
        <v>Tabela Referente à Figura 4.7</v>
      </c>
      <c r="B3" s="350"/>
    </row>
    <row r="4" spans="1:8" ht="30" customHeight="1" x14ac:dyDescent="0.25">
      <c r="A4" s="351" t="str">
        <f>H1</f>
        <v>Evolução do aproveitamento em termos de RPK/ASK – mercado doméstico, 2009 a 2018</v>
      </c>
      <c r="B4" s="351"/>
    </row>
    <row r="5" spans="1:8" x14ac:dyDescent="0.25">
      <c r="A5" s="1" t="s">
        <v>20</v>
      </c>
      <c r="B5" s="21" t="s">
        <v>238</v>
      </c>
    </row>
    <row r="6" spans="1:8" x14ac:dyDescent="0.25">
      <c r="A6" s="17">
        <v>2009</v>
      </c>
      <c r="B6" s="10">
        <v>0.65870914954029358</v>
      </c>
    </row>
    <row r="7" spans="1:8" x14ac:dyDescent="0.25">
      <c r="A7" s="18">
        <v>2010</v>
      </c>
      <c r="B7" s="11">
        <v>0.68410868562007365</v>
      </c>
    </row>
    <row r="8" spans="1:8" x14ac:dyDescent="0.25">
      <c r="A8" s="17">
        <v>2011</v>
      </c>
      <c r="B8" s="10">
        <v>0.70168043936512858</v>
      </c>
    </row>
    <row r="9" spans="1:8" x14ac:dyDescent="0.25">
      <c r="A9" s="18">
        <v>2012</v>
      </c>
      <c r="B9" s="11">
        <v>0.72941714258543944</v>
      </c>
    </row>
    <row r="10" spans="1:8" x14ac:dyDescent="0.25">
      <c r="A10" s="17">
        <v>2013</v>
      </c>
      <c r="B10" s="10">
        <v>0.76133317139137135</v>
      </c>
    </row>
    <row r="11" spans="1:8" x14ac:dyDescent="0.25">
      <c r="A11" s="18">
        <v>2014</v>
      </c>
      <c r="B11" s="11">
        <v>0.79735816301326112</v>
      </c>
    </row>
    <row r="12" spans="1:8" x14ac:dyDescent="0.25">
      <c r="A12" s="17">
        <v>2015</v>
      </c>
      <c r="B12" s="10">
        <v>0.79828209133037398</v>
      </c>
    </row>
    <row r="13" spans="1:8" x14ac:dyDescent="0.25">
      <c r="A13" s="18">
        <v>2016</v>
      </c>
      <c r="B13" s="11">
        <v>0.80022371806840553</v>
      </c>
    </row>
    <row r="14" spans="1:8" x14ac:dyDescent="0.25">
      <c r="A14" s="17">
        <v>2017</v>
      </c>
      <c r="B14" s="10">
        <v>0.8147508949946598</v>
      </c>
    </row>
    <row r="15" spans="1:8" x14ac:dyDescent="0.25">
      <c r="A15" s="18">
        <v>2018</v>
      </c>
      <c r="B15" s="11">
        <v>0.81330917343367404</v>
      </c>
      <c r="C15" s="115">
        <f>B15/B14-1</f>
        <v>-1.7695243660889037E-3</v>
      </c>
    </row>
    <row r="16" spans="1:8" x14ac:dyDescent="0.25">
      <c r="A16" s="1"/>
      <c r="B16" s="21"/>
    </row>
    <row r="17" spans="2:3" x14ac:dyDescent="0.25">
      <c r="B17" s="115">
        <f>B15/B6-1</f>
        <v>0.23470149762042047</v>
      </c>
      <c r="C17" s="82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Plan123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23" customWidth="1"/>
    <col min="2" max="2" width="21.85546875" bestFit="1" customWidth="1"/>
  </cols>
  <sheetData>
    <row r="1" spans="1:8" x14ac:dyDescent="0.25">
      <c r="C1" s="78"/>
      <c r="D1" s="78"/>
      <c r="E1" s="78"/>
      <c r="F1" s="78"/>
      <c r="G1" s="78" t="s">
        <v>301</v>
      </c>
      <c r="H1" s="78" t="s">
        <v>1293</v>
      </c>
    </row>
    <row r="3" spans="1:8" x14ac:dyDescent="0.25">
      <c r="A3" s="350" t="str">
        <f>"Tabela Referente à "&amp;G1</f>
        <v>Tabela Referente à Figura 4.8</v>
      </c>
      <c r="B3" s="350"/>
    </row>
    <row r="4" spans="1:8" ht="32.25" customHeight="1" x14ac:dyDescent="0.25">
      <c r="A4" s="351" t="str">
        <f>H1</f>
        <v>Variação do aproveitamento RPK/ASK com relação ao ano anterior – mercado doméstico, 2009 a 2018</v>
      </c>
      <c r="B4" s="351"/>
    </row>
    <row r="5" spans="1:8" x14ac:dyDescent="0.25">
      <c r="A5" s="1" t="s">
        <v>20</v>
      </c>
      <c r="B5" s="21" t="s">
        <v>819</v>
      </c>
    </row>
    <row r="6" spans="1:8" x14ac:dyDescent="0.25">
      <c r="A6" s="17">
        <v>2009</v>
      </c>
      <c r="B6" s="10">
        <v>-1.2673017817273319E-3</v>
      </c>
    </row>
    <row r="7" spans="1:8" x14ac:dyDescent="0.25">
      <c r="A7" s="18">
        <v>2010</v>
      </c>
      <c r="B7" s="11">
        <v>3.8559561678331251E-2</v>
      </c>
    </row>
    <row r="8" spans="1:8" x14ac:dyDescent="0.25">
      <c r="A8" s="17">
        <v>2011</v>
      </c>
      <c r="B8" s="10">
        <v>2.5685617087477783E-2</v>
      </c>
    </row>
    <row r="9" spans="1:8" x14ac:dyDescent="0.25">
      <c r="A9" s="18">
        <v>2012</v>
      </c>
      <c r="B9" s="11">
        <v>3.9528967410587458E-2</v>
      </c>
    </row>
    <row r="10" spans="1:8" x14ac:dyDescent="0.25">
      <c r="A10" s="17">
        <v>2013</v>
      </c>
      <c r="B10" s="10">
        <v>4.3755523338544884E-2</v>
      </c>
    </row>
    <row r="11" spans="1:8" x14ac:dyDescent="0.25">
      <c r="A11" s="18">
        <v>2014</v>
      </c>
      <c r="B11" s="11">
        <v>4.7318300286394249E-2</v>
      </c>
    </row>
    <row r="12" spans="1:8" x14ac:dyDescent="0.25">
      <c r="A12" s="17">
        <v>2015</v>
      </c>
      <c r="B12" s="10">
        <v>1.1587368888546616E-3</v>
      </c>
    </row>
    <row r="13" spans="1:8" x14ac:dyDescent="0.25">
      <c r="A13" s="18">
        <v>2016</v>
      </c>
      <c r="B13" s="11">
        <v>2.4322564155181583E-3</v>
      </c>
    </row>
    <row r="14" spans="1:8" x14ac:dyDescent="0.25">
      <c r="A14" s="17">
        <v>2017</v>
      </c>
      <c r="B14" s="10">
        <v>1.8153894465063138E-2</v>
      </c>
    </row>
    <row r="15" spans="1:8" x14ac:dyDescent="0.25">
      <c r="A15" s="18">
        <v>2018</v>
      </c>
      <c r="B15" s="11">
        <v>-1.7695243660888699E-3</v>
      </c>
    </row>
    <row r="16" spans="1:8" x14ac:dyDescent="0.25">
      <c r="A16" s="1"/>
      <c r="B16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Plan124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1.5703125" customWidth="1"/>
    <col min="2" max="2" width="36.85546875" customWidth="1"/>
  </cols>
  <sheetData>
    <row r="1" spans="1:8" x14ac:dyDescent="0.25">
      <c r="C1" s="78"/>
      <c r="D1" s="78"/>
      <c r="E1" s="78"/>
      <c r="F1" s="78"/>
      <c r="G1" s="78" t="s">
        <v>302</v>
      </c>
      <c r="H1" s="78" t="s">
        <v>1294</v>
      </c>
    </row>
    <row r="3" spans="1:8" x14ac:dyDescent="0.25">
      <c r="A3" s="350" t="str">
        <f>"Tabela Referente à "&amp;G1</f>
        <v>Tabela Referente à Figura 4.9</v>
      </c>
      <c r="B3" s="350"/>
    </row>
    <row r="4" spans="1:8" ht="18.75" customHeight="1" x14ac:dyDescent="0.25">
      <c r="A4" s="352" t="str">
        <f>H1</f>
        <v>Aproveitamento RPK/ASK mensal – mercado doméstico, 2018</v>
      </c>
      <c r="B4" s="352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0.84709732221423018</v>
      </c>
      <c r="C6" s="78">
        <v>1</v>
      </c>
    </row>
    <row r="7" spans="1:8" x14ac:dyDescent="0.25">
      <c r="A7" s="18" t="s">
        <v>48</v>
      </c>
      <c r="B7" s="11">
        <v>0.80340151728604747</v>
      </c>
      <c r="C7" s="78">
        <v>2</v>
      </c>
    </row>
    <row r="8" spans="1:8" x14ac:dyDescent="0.25">
      <c r="A8" s="17" t="s">
        <v>49</v>
      </c>
      <c r="B8" s="10">
        <v>0.80076072957770772</v>
      </c>
      <c r="C8" s="78">
        <v>3</v>
      </c>
    </row>
    <row r="9" spans="1:8" x14ac:dyDescent="0.25">
      <c r="A9" s="18" t="s">
        <v>50</v>
      </c>
      <c r="B9" s="11">
        <v>0.80491972501362818</v>
      </c>
      <c r="C9" s="78">
        <v>4</v>
      </c>
    </row>
    <row r="10" spans="1:8" x14ac:dyDescent="0.25">
      <c r="A10" s="17" t="s">
        <v>51</v>
      </c>
      <c r="B10" s="10">
        <v>0.76873126355639976</v>
      </c>
      <c r="C10" s="78">
        <v>5</v>
      </c>
    </row>
    <row r="11" spans="1:8" x14ac:dyDescent="0.25">
      <c r="A11" s="18" t="s">
        <v>52</v>
      </c>
      <c r="B11" s="11">
        <v>0.77918814366131472</v>
      </c>
      <c r="C11" s="78">
        <v>6</v>
      </c>
    </row>
    <row r="12" spans="1:8" x14ac:dyDescent="0.25">
      <c r="A12" s="17" t="s">
        <v>53</v>
      </c>
      <c r="B12" s="10">
        <v>0.8389520616038848</v>
      </c>
      <c r="C12" s="78">
        <v>7</v>
      </c>
    </row>
    <row r="13" spans="1:8" x14ac:dyDescent="0.25">
      <c r="A13" s="18" t="s">
        <v>54</v>
      </c>
      <c r="B13" s="11">
        <v>0.79995213993322623</v>
      </c>
      <c r="C13" s="78">
        <v>8</v>
      </c>
    </row>
    <row r="14" spans="1:8" x14ac:dyDescent="0.25">
      <c r="A14" s="17" t="s">
        <v>55</v>
      </c>
      <c r="B14" s="10">
        <v>0.80723707675033274</v>
      </c>
      <c r="C14" s="78">
        <v>9</v>
      </c>
    </row>
    <row r="15" spans="1:8" x14ac:dyDescent="0.25">
      <c r="A15" s="18" t="s">
        <v>56</v>
      </c>
      <c r="B15" s="11">
        <v>0.81462752394857196</v>
      </c>
      <c r="C15" s="78">
        <v>10</v>
      </c>
    </row>
    <row r="16" spans="1:8" x14ac:dyDescent="0.25">
      <c r="A16" s="17" t="s">
        <v>57</v>
      </c>
      <c r="B16" s="10">
        <v>0.83673066568765553</v>
      </c>
      <c r="C16" s="78">
        <v>11</v>
      </c>
    </row>
    <row r="17" spans="1:3" x14ac:dyDescent="0.25">
      <c r="A17" s="18" t="s">
        <v>58</v>
      </c>
      <c r="B17" s="11">
        <v>0.84337614080855006</v>
      </c>
      <c r="C17" s="78">
        <v>12</v>
      </c>
    </row>
    <row r="18" spans="1:3" x14ac:dyDescent="0.25">
      <c r="A18" s="1"/>
      <c r="B18" s="21"/>
      <c r="C18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Plan180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1.5703125" customWidth="1"/>
    <col min="2" max="2" width="32" customWidth="1"/>
  </cols>
  <sheetData>
    <row r="1" spans="1:8" x14ac:dyDescent="0.25">
      <c r="C1" s="78"/>
      <c r="D1" s="78"/>
      <c r="E1" s="78"/>
      <c r="F1" s="78"/>
      <c r="G1" s="78" t="s">
        <v>1295</v>
      </c>
      <c r="H1" s="78" t="s">
        <v>1296</v>
      </c>
    </row>
    <row r="3" spans="1:8" x14ac:dyDescent="0.25">
      <c r="A3" s="350" t="str">
        <f>"Tabela Referente à "&amp;G1</f>
        <v>Tabela Referente à Figura 4.10</v>
      </c>
      <c r="B3" s="350"/>
    </row>
    <row r="4" spans="1:8" ht="31.5" customHeight="1" x14ac:dyDescent="0.25">
      <c r="A4" s="351" t="str">
        <f>H1</f>
        <v>Variação do aproveitamento RPK/ASK com relação ao mesmo mês do ano anterior – mercado doméstico,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5.5625299115222605E-3</v>
      </c>
      <c r="C6" s="78">
        <v>1</v>
      </c>
    </row>
    <row r="7" spans="1:8" x14ac:dyDescent="0.25">
      <c r="A7" s="18" t="s">
        <v>48</v>
      </c>
      <c r="B7" s="11">
        <v>1.5596259942886589E-2</v>
      </c>
      <c r="C7" s="78">
        <v>2</v>
      </c>
    </row>
    <row r="8" spans="1:8" x14ac:dyDescent="0.25">
      <c r="A8" s="17" t="s">
        <v>49</v>
      </c>
      <c r="B8" s="10">
        <v>1.4244628748261261E-2</v>
      </c>
      <c r="C8" s="78">
        <v>3</v>
      </c>
    </row>
    <row r="9" spans="1:8" x14ac:dyDescent="0.25">
      <c r="A9" s="18" t="s">
        <v>50</v>
      </c>
      <c r="B9" s="11">
        <v>4.9978877835325421E-3</v>
      </c>
      <c r="C9" s="78">
        <v>4</v>
      </c>
    </row>
    <row r="10" spans="1:8" x14ac:dyDescent="0.25">
      <c r="A10" s="17" t="s">
        <v>51</v>
      </c>
      <c r="B10" s="10">
        <v>-1.1739078785837517E-2</v>
      </c>
      <c r="C10" s="78">
        <v>5</v>
      </c>
    </row>
    <row r="11" spans="1:8" x14ac:dyDescent="0.25">
      <c r="A11" s="18" t="s">
        <v>52</v>
      </c>
      <c r="B11" s="11">
        <v>-2.7648503093706416E-2</v>
      </c>
      <c r="C11" s="78">
        <v>6</v>
      </c>
    </row>
    <row r="12" spans="1:8" x14ac:dyDescent="0.25">
      <c r="A12" s="17" t="s">
        <v>53</v>
      </c>
      <c r="B12" s="10">
        <v>7.7105548528974888E-5</v>
      </c>
      <c r="C12" s="78">
        <v>7</v>
      </c>
    </row>
    <row r="13" spans="1:8" x14ac:dyDescent="0.25">
      <c r="A13" s="18" t="s">
        <v>54</v>
      </c>
      <c r="B13" s="11">
        <v>-3.0080504623362114E-3</v>
      </c>
      <c r="C13" s="78">
        <v>8</v>
      </c>
    </row>
    <row r="14" spans="1:8" x14ac:dyDescent="0.25">
      <c r="A14" s="17" t="s">
        <v>55</v>
      </c>
      <c r="B14" s="10">
        <v>-2.6046948795388276E-2</v>
      </c>
      <c r="C14" s="78">
        <v>9</v>
      </c>
    </row>
    <row r="15" spans="1:8" x14ac:dyDescent="0.25">
      <c r="A15" s="18" t="s">
        <v>56</v>
      </c>
      <c r="B15" s="11">
        <v>-2.1887146502384758E-2</v>
      </c>
      <c r="C15" s="78">
        <v>10</v>
      </c>
    </row>
    <row r="16" spans="1:8" x14ac:dyDescent="0.25">
      <c r="A16" s="17" t="s">
        <v>57</v>
      </c>
      <c r="B16" s="10">
        <v>1.329715084668274E-2</v>
      </c>
      <c r="C16" s="78">
        <v>11</v>
      </c>
    </row>
    <row r="17" spans="1:3" x14ac:dyDescent="0.25">
      <c r="A17" s="18" t="s">
        <v>58</v>
      </c>
      <c r="B17" s="11">
        <v>1.3626203387463854E-2</v>
      </c>
      <c r="C17" s="78">
        <v>12</v>
      </c>
    </row>
    <row r="18" spans="1:3" x14ac:dyDescent="0.25">
      <c r="A18" s="1"/>
      <c r="B18" s="21"/>
      <c r="C18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3"/>
  <dimension ref="A1:H16"/>
  <sheetViews>
    <sheetView showGridLines="0" workbookViewId="0">
      <selection activeCell="B6" sqref="B6:B15"/>
    </sheetView>
  </sheetViews>
  <sheetFormatPr defaultRowHeight="15" x14ac:dyDescent="0.25"/>
  <cols>
    <col min="1" max="1" width="9.28515625" style="313" customWidth="1"/>
    <col min="2" max="2" width="45.42578125" style="313" customWidth="1"/>
    <col min="3" max="16384" width="9.140625" style="313"/>
  </cols>
  <sheetData>
    <row r="1" spans="1:8" x14ac:dyDescent="0.25">
      <c r="C1" s="78"/>
      <c r="D1" s="78"/>
      <c r="E1" s="78"/>
      <c r="F1" s="78"/>
      <c r="G1" s="78" t="s">
        <v>247</v>
      </c>
      <c r="H1" s="78" t="s">
        <v>1134</v>
      </c>
    </row>
    <row r="3" spans="1:8" x14ac:dyDescent="0.25">
      <c r="A3" s="350" t="str">
        <f>"Tabela Referente à "&amp;G1</f>
        <v>Tabela Referente à Figura 2.2</v>
      </c>
      <c r="B3" s="350"/>
    </row>
    <row r="4" spans="1:8" ht="30.75" customHeight="1" x14ac:dyDescent="0.25">
      <c r="A4" s="351" t="str">
        <f>H1</f>
        <v>Variação na quantidade de voos com relação ao ano anterior – mercados doméstico e internacional, 2009 a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>
        <v>2009</v>
      </c>
      <c r="B6" s="10">
        <v>9.2778025781637616E-2</v>
      </c>
    </row>
    <row r="7" spans="1:8" x14ac:dyDescent="0.25">
      <c r="A7" s="18">
        <v>2010</v>
      </c>
      <c r="B7" s="11">
        <v>0.15267122532788338</v>
      </c>
    </row>
    <row r="8" spans="1:8" x14ac:dyDescent="0.25">
      <c r="A8" s="17">
        <v>2011</v>
      </c>
      <c r="B8" s="10">
        <v>0.13647928163876158</v>
      </c>
    </row>
    <row r="9" spans="1:8" x14ac:dyDescent="0.25">
      <c r="A9" s="18">
        <v>2012</v>
      </c>
      <c r="B9" s="11">
        <v>3.6436828594917828E-2</v>
      </c>
    </row>
    <row r="10" spans="1:8" x14ac:dyDescent="0.25">
      <c r="A10" s="17">
        <v>2013</v>
      </c>
      <c r="B10" s="10">
        <v>-3.6905536050992054E-2</v>
      </c>
    </row>
    <row r="11" spans="1:8" x14ac:dyDescent="0.25">
      <c r="A11" s="18">
        <v>2014</v>
      </c>
      <c r="B11" s="11">
        <v>-3.252327475479283E-4</v>
      </c>
    </row>
    <row r="12" spans="1:8" x14ac:dyDescent="0.25">
      <c r="A12" s="17">
        <v>2015</v>
      </c>
      <c r="B12" s="10">
        <v>-7.6000920112429676E-3</v>
      </c>
    </row>
    <row r="13" spans="1:8" x14ac:dyDescent="0.25">
      <c r="A13" s="18">
        <v>2016</v>
      </c>
      <c r="B13" s="11">
        <v>-0.10908154011809271</v>
      </c>
    </row>
    <row r="14" spans="1:8" x14ac:dyDescent="0.25">
      <c r="A14" s="17">
        <v>2017</v>
      </c>
      <c r="B14" s="10">
        <v>-2.4739934242440576E-2</v>
      </c>
    </row>
    <row r="15" spans="1:8" x14ac:dyDescent="0.25">
      <c r="A15" s="18">
        <v>2018</v>
      </c>
      <c r="B15" s="11">
        <v>2.7570762938840754E-2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Plan125"/>
  <dimension ref="A1:H11"/>
  <sheetViews>
    <sheetView showGridLines="0" workbookViewId="0">
      <selection activeCell="G3" sqref="G3"/>
    </sheetView>
  </sheetViews>
  <sheetFormatPr defaultRowHeight="15" x14ac:dyDescent="0.25"/>
  <cols>
    <col min="1" max="1" width="25.85546875" customWidth="1"/>
    <col min="2" max="3" width="15.42578125" customWidth="1"/>
  </cols>
  <sheetData>
    <row r="1" spans="1:8" x14ac:dyDescent="0.25">
      <c r="C1" s="78"/>
      <c r="D1" s="78"/>
      <c r="E1" s="78"/>
      <c r="F1" s="78"/>
      <c r="G1" s="78" t="s">
        <v>303</v>
      </c>
      <c r="H1" s="78" t="s">
        <v>1297</v>
      </c>
    </row>
    <row r="3" spans="1:8" x14ac:dyDescent="0.25">
      <c r="A3" s="350" t="str">
        <f>"Tabela Referente à "&amp;G1</f>
        <v>Tabela Referente à Figura 4.11</v>
      </c>
      <c r="B3" s="350"/>
      <c r="C3" s="350"/>
    </row>
    <row r="4" spans="1:8" ht="30" customHeight="1" x14ac:dyDescent="0.25">
      <c r="A4" s="351" t="str">
        <f>H1</f>
        <v>Aproveitamento em termos de RPK/ASK, por empresa – mercado doméstico, 2017 (esquerda) e 2018 (direita)</v>
      </c>
      <c r="B4" s="351"/>
      <c r="C4" s="351"/>
    </row>
    <row r="5" spans="1:8" x14ac:dyDescent="0.25">
      <c r="A5" s="1" t="s">
        <v>20</v>
      </c>
      <c r="B5" s="1">
        <v>2017</v>
      </c>
      <c r="C5" s="21">
        <v>2018</v>
      </c>
    </row>
    <row r="6" spans="1:8" x14ac:dyDescent="0.25">
      <c r="A6" s="17" t="s">
        <v>61</v>
      </c>
      <c r="B6" s="76">
        <v>0.85225931462556159</v>
      </c>
      <c r="C6" s="76">
        <v>0.84440691584811267</v>
      </c>
      <c r="D6" s="117" t="s">
        <v>374</v>
      </c>
    </row>
    <row r="7" spans="1:8" x14ac:dyDescent="0.25">
      <c r="A7" s="18" t="s">
        <v>526</v>
      </c>
      <c r="B7" s="77">
        <v>0.8252918223676553</v>
      </c>
      <c r="C7" s="77">
        <v>0.81297446095567971</v>
      </c>
      <c r="D7" s="117" t="s">
        <v>373</v>
      </c>
    </row>
    <row r="8" spans="1:8" x14ac:dyDescent="0.25">
      <c r="A8" s="17" t="s">
        <v>60</v>
      </c>
      <c r="B8" s="76">
        <v>0.80279242605532453</v>
      </c>
      <c r="C8" s="76">
        <v>0.80783057867646357</v>
      </c>
      <c r="D8" s="117" t="s">
        <v>526</v>
      </c>
    </row>
    <row r="9" spans="1:8" x14ac:dyDescent="0.25">
      <c r="A9" s="18" t="s">
        <v>59</v>
      </c>
      <c r="B9" s="77">
        <v>0.8019177409380025</v>
      </c>
      <c r="C9" s="77">
        <v>0.80786586205656619</v>
      </c>
      <c r="D9" s="117" t="s">
        <v>375</v>
      </c>
    </row>
    <row r="10" spans="1:8" x14ac:dyDescent="0.25">
      <c r="A10" s="1"/>
      <c r="B10" s="1"/>
      <c r="C10" s="21"/>
      <c r="D10" s="117" t="s">
        <v>372</v>
      </c>
    </row>
    <row r="11" spans="1:8" x14ac:dyDescent="0.25">
      <c r="B11" s="78">
        <v>2012</v>
      </c>
      <c r="C11" s="78">
        <v>2013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Plan126"/>
  <dimension ref="A1:H17"/>
  <sheetViews>
    <sheetView showGridLines="0" workbookViewId="0">
      <selection activeCell="A5" sqref="A5:B15"/>
    </sheetView>
  </sheetViews>
  <sheetFormatPr defaultRowHeight="15" x14ac:dyDescent="0.25"/>
  <cols>
    <col min="1" max="1" width="25" customWidth="1"/>
    <col min="2" max="2" width="25.140625" customWidth="1"/>
  </cols>
  <sheetData>
    <row r="1" spans="1:8" x14ac:dyDescent="0.25">
      <c r="C1" s="78"/>
      <c r="D1" s="78"/>
      <c r="E1" s="78"/>
      <c r="F1" s="78"/>
      <c r="G1" s="78" t="s">
        <v>304</v>
      </c>
      <c r="H1" s="78" t="s">
        <v>1298</v>
      </c>
    </row>
    <row r="3" spans="1:8" x14ac:dyDescent="0.25">
      <c r="A3" s="350" t="str">
        <f>"Tabela Referente à "&amp;G1</f>
        <v>Tabela Referente à Figura 4.12</v>
      </c>
      <c r="B3" s="350"/>
    </row>
    <row r="4" spans="1:8" ht="30.75" customHeight="1" x14ac:dyDescent="0.25">
      <c r="A4" s="351" t="str">
        <f>H1</f>
        <v>Evolução do aproveitamento em termos de RPK/ASK – mercado internacional, 2009 a 2018</v>
      </c>
      <c r="B4" s="351"/>
      <c r="C4" s="78"/>
    </row>
    <row r="5" spans="1:8" x14ac:dyDescent="0.25">
      <c r="A5" s="1" t="s">
        <v>20</v>
      </c>
      <c r="B5" s="21" t="s">
        <v>238</v>
      </c>
      <c r="C5" s="78"/>
    </row>
    <row r="6" spans="1:8" x14ac:dyDescent="0.25">
      <c r="A6" s="17">
        <v>2009</v>
      </c>
      <c r="B6" s="10">
        <v>0.74669563285044749</v>
      </c>
      <c r="C6" s="115"/>
    </row>
    <row r="7" spans="1:8" x14ac:dyDescent="0.25">
      <c r="A7" s="18">
        <v>2010</v>
      </c>
      <c r="B7" s="11">
        <v>0.79771826061128359</v>
      </c>
      <c r="C7" s="115">
        <f t="shared" ref="C7:C14" si="0">B7/B6-1</f>
        <v>6.8331225624102654E-2</v>
      </c>
    </row>
    <row r="8" spans="1:8" x14ac:dyDescent="0.25">
      <c r="A8" s="17">
        <v>2011</v>
      </c>
      <c r="B8" s="10">
        <v>0.80096539381522636</v>
      </c>
      <c r="C8" s="115">
        <f t="shared" si="0"/>
        <v>4.0705263553255655E-3</v>
      </c>
    </row>
    <row r="9" spans="1:8" x14ac:dyDescent="0.25">
      <c r="A9" s="18">
        <v>2012</v>
      </c>
      <c r="B9" s="11">
        <v>0.79616251797412407</v>
      </c>
      <c r="C9" s="115">
        <f t="shared" si="0"/>
        <v>-5.996358741823804E-3</v>
      </c>
    </row>
    <row r="10" spans="1:8" x14ac:dyDescent="0.25">
      <c r="A10" s="17">
        <v>2013</v>
      </c>
      <c r="B10" s="10">
        <v>0.79573594132828263</v>
      </c>
      <c r="C10" s="115">
        <f t="shared" si="0"/>
        <v>-5.3579091732036677E-4</v>
      </c>
    </row>
    <row r="11" spans="1:8" x14ac:dyDescent="0.25">
      <c r="A11" s="18">
        <v>2014</v>
      </c>
      <c r="B11" s="11">
        <v>0.79823243389358123</v>
      </c>
      <c r="C11" s="115">
        <f t="shared" si="0"/>
        <v>3.1373379479773256E-3</v>
      </c>
    </row>
    <row r="12" spans="1:8" x14ac:dyDescent="0.25">
      <c r="A12" s="17">
        <v>2015</v>
      </c>
      <c r="B12" s="10">
        <v>0.78671546601104037</v>
      </c>
      <c r="C12" s="115">
        <f t="shared" si="0"/>
        <v>-1.442808810256424E-2</v>
      </c>
    </row>
    <row r="13" spans="1:8" x14ac:dyDescent="0.25">
      <c r="A13" s="18">
        <v>2016</v>
      </c>
      <c r="B13" s="11">
        <v>0.81213649655242326</v>
      </c>
      <c r="C13" s="115">
        <f t="shared" si="0"/>
        <v>3.2312864866223645E-2</v>
      </c>
    </row>
    <row r="14" spans="1:8" x14ac:dyDescent="0.25">
      <c r="A14" s="17">
        <v>2017</v>
      </c>
      <c r="B14" s="10">
        <v>0.84373567998008492</v>
      </c>
      <c r="C14" s="115">
        <f t="shared" si="0"/>
        <v>3.8908710003555447E-2</v>
      </c>
    </row>
    <row r="15" spans="1:8" x14ac:dyDescent="0.25">
      <c r="A15" s="18">
        <v>2018</v>
      </c>
      <c r="B15" s="11">
        <v>0.8213094590528135</v>
      </c>
      <c r="C15" s="115">
        <f>B15/B14-1</f>
        <v>-2.6579675909641276E-2</v>
      </c>
    </row>
    <row r="16" spans="1:8" x14ac:dyDescent="0.25">
      <c r="A16" s="1"/>
      <c r="B16" s="21"/>
      <c r="C16" s="115"/>
    </row>
    <row r="17" spans="2:2" x14ac:dyDescent="0.25">
      <c r="B17" s="115">
        <f>B15/B6-1</f>
        <v>9.9925355017189466E-2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Plan182"/>
  <dimension ref="A1:H18"/>
  <sheetViews>
    <sheetView showGridLines="0" workbookViewId="0">
      <selection activeCell="A5" sqref="A5:B15"/>
    </sheetView>
  </sheetViews>
  <sheetFormatPr defaultRowHeight="15" x14ac:dyDescent="0.25"/>
  <cols>
    <col min="1" max="1" width="21.5703125" customWidth="1"/>
    <col min="2" max="2" width="32" customWidth="1"/>
  </cols>
  <sheetData>
    <row r="1" spans="1:8" x14ac:dyDescent="0.25">
      <c r="C1" s="78"/>
      <c r="D1" s="78"/>
      <c r="E1" s="78"/>
      <c r="F1" s="78"/>
      <c r="G1" s="78" t="s">
        <v>305</v>
      </c>
      <c r="H1" s="78" t="s">
        <v>1299</v>
      </c>
    </row>
    <row r="3" spans="1:8" x14ac:dyDescent="0.25">
      <c r="A3" s="350" t="str">
        <f>"Tabela Referente à "&amp;G1</f>
        <v>Tabela Referente à Figura 4.13</v>
      </c>
      <c r="B3" s="350"/>
    </row>
    <row r="4" spans="1:8" ht="31.5" customHeight="1" x14ac:dyDescent="0.25">
      <c r="A4" s="351" t="str">
        <f>H1</f>
        <v>Variação do aproveitamento RPK/ASK – mercado internacional, 2018</v>
      </c>
      <c r="B4" s="351"/>
    </row>
    <row r="5" spans="1:8" x14ac:dyDescent="0.25">
      <c r="A5" s="1" t="s">
        <v>20</v>
      </c>
      <c r="B5" s="21" t="s">
        <v>819</v>
      </c>
    </row>
    <row r="6" spans="1:8" x14ac:dyDescent="0.25">
      <c r="A6" s="17">
        <v>2009</v>
      </c>
      <c r="B6" s="10">
        <v>-4.2564407677399579E-2</v>
      </c>
      <c r="C6" s="78">
        <v>1</v>
      </c>
    </row>
    <row r="7" spans="1:8" x14ac:dyDescent="0.25">
      <c r="A7" s="18">
        <v>2010</v>
      </c>
      <c r="B7" s="11">
        <v>6.8331225624102737E-2</v>
      </c>
      <c r="C7" s="78">
        <v>2</v>
      </c>
    </row>
    <row r="8" spans="1:8" x14ac:dyDescent="0.25">
      <c r="A8" s="17">
        <v>2011</v>
      </c>
      <c r="B8" s="10">
        <v>4.0705263553256496E-3</v>
      </c>
      <c r="C8" s="78">
        <v>3</v>
      </c>
    </row>
    <row r="9" spans="1:8" x14ac:dyDescent="0.25">
      <c r="A9" s="18">
        <v>2012</v>
      </c>
      <c r="B9" s="11">
        <v>-5.9963587418238101E-3</v>
      </c>
      <c r="C9" s="78">
        <v>4</v>
      </c>
    </row>
    <row r="10" spans="1:8" x14ac:dyDescent="0.25">
      <c r="A10" s="17">
        <v>2013</v>
      </c>
      <c r="B10" s="10">
        <v>-5.3579091732036525E-4</v>
      </c>
      <c r="C10" s="78">
        <v>5</v>
      </c>
    </row>
    <row r="11" spans="1:8" x14ac:dyDescent="0.25">
      <c r="A11" s="18">
        <v>2014</v>
      </c>
      <c r="B11" s="11">
        <v>3.1373379479772284E-3</v>
      </c>
      <c r="C11" s="78">
        <v>6</v>
      </c>
    </row>
    <row r="12" spans="1:8" x14ac:dyDescent="0.25">
      <c r="A12" s="17">
        <v>2015</v>
      </c>
      <c r="B12" s="10">
        <v>-1.4428088102564225E-2</v>
      </c>
      <c r="C12" s="78">
        <v>7</v>
      </c>
    </row>
    <row r="13" spans="1:8" x14ac:dyDescent="0.25">
      <c r="A13" s="18">
        <v>2016</v>
      </c>
      <c r="B13" s="11">
        <v>3.2312864866223624E-2</v>
      </c>
      <c r="C13" s="78">
        <v>8</v>
      </c>
    </row>
    <row r="14" spans="1:8" x14ac:dyDescent="0.25">
      <c r="A14" s="17">
        <v>2017</v>
      </c>
      <c r="B14" s="10">
        <v>3.8908710003555343E-2</v>
      </c>
      <c r="C14" s="78">
        <v>9</v>
      </c>
    </row>
    <row r="15" spans="1:8" x14ac:dyDescent="0.25">
      <c r="A15" s="18">
        <v>2018</v>
      </c>
      <c r="B15" s="11">
        <v>-2.6579675909641227E-2</v>
      </c>
      <c r="C15" s="78">
        <v>10</v>
      </c>
    </row>
    <row r="16" spans="1:8" x14ac:dyDescent="0.25">
      <c r="A16" s="1"/>
      <c r="B16" s="21"/>
      <c r="C16" s="78">
        <v>11</v>
      </c>
    </row>
    <row r="17" spans="3:3" x14ac:dyDescent="0.25">
      <c r="C17" s="78">
        <v>12</v>
      </c>
    </row>
    <row r="18" spans="3:3" x14ac:dyDescent="0.25">
      <c r="C18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Plan127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3.5703125" customWidth="1"/>
    <col min="2" max="2" width="28.85546875" customWidth="1"/>
  </cols>
  <sheetData>
    <row r="1" spans="1:8" x14ac:dyDescent="0.25">
      <c r="C1" s="78"/>
      <c r="D1" s="78"/>
      <c r="E1" s="78"/>
      <c r="F1" s="78"/>
      <c r="G1" s="78" t="s">
        <v>306</v>
      </c>
      <c r="H1" s="78" t="s">
        <v>1300</v>
      </c>
    </row>
    <row r="3" spans="1:8" x14ac:dyDescent="0.25">
      <c r="A3" s="350" t="str">
        <f>"Tabela Referente à "&amp;G1</f>
        <v>Tabela Referente à Figura 4.14</v>
      </c>
      <c r="B3" s="350"/>
    </row>
    <row r="4" spans="1:8" ht="30.75" customHeight="1" x14ac:dyDescent="0.25">
      <c r="A4" s="351" t="str">
        <f>H1</f>
        <v>Aproveitamento RPK/ASK mensal – mercado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0.86965301472439793</v>
      </c>
      <c r="C6" s="78">
        <v>1</v>
      </c>
    </row>
    <row r="7" spans="1:8" x14ac:dyDescent="0.25">
      <c r="A7" s="18" t="s">
        <v>48</v>
      </c>
      <c r="B7" s="11">
        <v>0.83025438741646207</v>
      </c>
      <c r="C7" s="78">
        <v>2</v>
      </c>
    </row>
    <row r="8" spans="1:8" x14ac:dyDescent="0.25">
      <c r="A8" s="17" t="s">
        <v>49</v>
      </c>
      <c r="B8" s="10">
        <v>0.80730143539707389</v>
      </c>
      <c r="C8" s="78">
        <v>3</v>
      </c>
    </row>
    <row r="9" spans="1:8" x14ac:dyDescent="0.25">
      <c r="A9" s="18" t="s">
        <v>50</v>
      </c>
      <c r="B9" s="11">
        <v>0.81792356764064644</v>
      </c>
      <c r="C9" s="78">
        <v>4</v>
      </c>
    </row>
    <row r="10" spans="1:8" x14ac:dyDescent="0.25">
      <c r="A10" s="17" t="s">
        <v>51</v>
      </c>
      <c r="B10" s="10">
        <v>0.82755448100366569</v>
      </c>
      <c r="C10" s="78">
        <v>5</v>
      </c>
    </row>
    <row r="11" spans="1:8" x14ac:dyDescent="0.25">
      <c r="A11" s="18" t="s">
        <v>52</v>
      </c>
      <c r="B11" s="11">
        <v>0.8136626667771647</v>
      </c>
      <c r="C11" s="78">
        <v>6</v>
      </c>
    </row>
    <row r="12" spans="1:8" x14ac:dyDescent="0.25">
      <c r="A12" s="17" t="s">
        <v>53</v>
      </c>
      <c r="B12" s="10">
        <v>0.84347834378416775</v>
      </c>
      <c r="C12" s="78">
        <v>7</v>
      </c>
    </row>
    <row r="13" spans="1:8" x14ac:dyDescent="0.25">
      <c r="A13" s="18" t="s">
        <v>54</v>
      </c>
      <c r="B13" s="11">
        <v>0.81265679344057828</v>
      </c>
      <c r="C13" s="78">
        <v>8</v>
      </c>
    </row>
    <row r="14" spans="1:8" x14ac:dyDescent="0.25">
      <c r="A14" s="17" t="s">
        <v>55</v>
      </c>
      <c r="B14" s="10">
        <v>0.81703842069799881</v>
      </c>
      <c r="C14" s="78">
        <v>9</v>
      </c>
    </row>
    <row r="15" spans="1:8" x14ac:dyDescent="0.25">
      <c r="A15" s="18" t="s">
        <v>56</v>
      </c>
      <c r="B15" s="11">
        <v>0.79962363037574569</v>
      </c>
      <c r="C15" s="78">
        <v>10</v>
      </c>
    </row>
    <row r="16" spans="1:8" x14ac:dyDescent="0.25">
      <c r="A16" s="17" t="s">
        <v>57</v>
      </c>
      <c r="B16" s="10">
        <v>0.78995092488841256</v>
      </c>
      <c r="C16" s="78">
        <v>11</v>
      </c>
    </row>
    <row r="17" spans="1:3" x14ac:dyDescent="0.25">
      <c r="A17" s="18" t="s">
        <v>58</v>
      </c>
      <c r="B17" s="11">
        <v>0.82218972567385773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Plan183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21.5703125" customWidth="1"/>
    <col min="2" max="2" width="32" customWidth="1"/>
  </cols>
  <sheetData>
    <row r="1" spans="1:8" x14ac:dyDescent="0.25">
      <c r="C1" s="78"/>
      <c r="D1" s="78"/>
      <c r="E1" s="78"/>
      <c r="F1" s="78"/>
      <c r="G1" s="78" t="s">
        <v>1301</v>
      </c>
      <c r="H1" s="78" t="s">
        <v>1302</v>
      </c>
    </row>
    <row r="3" spans="1:8" x14ac:dyDescent="0.25">
      <c r="A3" s="350" t="str">
        <f>"Tabela Referente à "&amp;G1</f>
        <v>Tabela Referente à Figura 4.15</v>
      </c>
      <c r="B3" s="350"/>
    </row>
    <row r="4" spans="1:8" ht="31.5" customHeight="1" x14ac:dyDescent="0.25">
      <c r="A4" s="351" t="str">
        <f>H1</f>
        <v>Variação do aproveitamento RPK/ASK com relação ao mesmo mês do ano anterior – mercado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-5.6383813673174486E-3</v>
      </c>
      <c r="C6" s="78">
        <v>1</v>
      </c>
    </row>
    <row r="7" spans="1:8" x14ac:dyDescent="0.25">
      <c r="A7" s="18" t="s">
        <v>48</v>
      </c>
      <c r="B7" s="11">
        <v>-2.1840428704948053E-3</v>
      </c>
      <c r="C7" s="78">
        <v>2</v>
      </c>
    </row>
    <row r="8" spans="1:8" x14ac:dyDescent="0.25">
      <c r="A8" s="17" t="s">
        <v>49</v>
      </c>
      <c r="B8" s="10">
        <v>-2.0214412471489526E-2</v>
      </c>
      <c r="C8" s="78">
        <v>3</v>
      </c>
    </row>
    <row r="9" spans="1:8" x14ac:dyDescent="0.25">
      <c r="A9" s="18" t="s">
        <v>50</v>
      </c>
      <c r="B9" s="11">
        <v>-1.2477568522899045E-2</v>
      </c>
      <c r="C9" s="78">
        <v>4</v>
      </c>
    </row>
    <row r="10" spans="1:8" x14ac:dyDescent="0.25">
      <c r="A10" s="17" t="s">
        <v>51</v>
      </c>
      <c r="B10" s="10">
        <v>-7.4723652404879506E-3</v>
      </c>
      <c r="C10" s="78">
        <v>5</v>
      </c>
    </row>
    <row r="11" spans="1:8" x14ac:dyDescent="0.25">
      <c r="A11" s="18" t="s">
        <v>52</v>
      </c>
      <c r="B11" s="11">
        <v>-2.7040791823928302E-2</v>
      </c>
      <c r="C11" s="78">
        <v>6</v>
      </c>
    </row>
    <row r="12" spans="1:8" x14ac:dyDescent="0.25">
      <c r="A12" s="17" t="s">
        <v>53</v>
      </c>
      <c r="B12" s="10">
        <v>-3.786859013241093E-2</v>
      </c>
      <c r="C12" s="78">
        <v>7</v>
      </c>
    </row>
    <row r="13" spans="1:8" x14ac:dyDescent="0.25">
      <c r="A13" s="18" t="s">
        <v>54</v>
      </c>
      <c r="B13" s="11">
        <v>-2.8769968651423439E-2</v>
      </c>
      <c r="C13" s="78">
        <v>8</v>
      </c>
    </row>
    <row r="14" spans="1:8" x14ac:dyDescent="0.25">
      <c r="A14" s="17" t="s">
        <v>55</v>
      </c>
      <c r="B14" s="10">
        <v>-6.7141945310554021E-2</v>
      </c>
      <c r="C14" s="78">
        <v>9</v>
      </c>
    </row>
    <row r="15" spans="1:8" x14ac:dyDescent="0.25">
      <c r="A15" s="18" t="s">
        <v>56</v>
      </c>
      <c r="B15" s="11">
        <v>-7.414865072433513E-2</v>
      </c>
      <c r="C15" s="78">
        <v>10</v>
      </c>
    </row>
    <row r="16" spans="1:8" x14ac:dyDescent="0.25">
      <c r="A16" s="17" t="s">
        <v>57</v>
      </c>
      <c r="B16" s="10">
        <v>-2.0707701830087001E-2</v>
      </c>
      <c r="C16" s="78">
        <v>11</v>
      </c>
    </row>
    <row r="17" spans="1:3" x14ac:dyDescent="0.25">
      <c r="A17" s="18" t="s">
        <v>58</v>
      </c>
      <c r="B17" s="11">
        <v>-1.184992209364308E-2</v>
      </c>
      <c r="C17" s="78">
        <v>12</v>
      </c>
    </row>
    <row r="18" spans="1:3" x14ac:dyDescent="0.25">
      <c r="A18" s="1"/>
      <c r="B18" s="21"/>
      <c r="C18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Plan128"/>
  <dimension ref="A1:H15"/>
  <sheetViews>
    <sheetView showGridLines="0" workbookViewId="0">
      <selection activeCell="A5" sqref="A5:C15"/>
    </sheetView>
  </sheetViews>
  <sheetFormatPr defaultRowHeight="15" x14ac:dyDescent="0.25"/>
  <cols>
    <col min="1" max="1" width="19" customWidth="1"/>
    <col min="2" max="3" width="18.28515625" customWidth="1"/>
  </cols>
  <sheetData>
    <row r="1" spans="1:8" x14ac:dyDescent="0.25">
      <c r="C1" s="78"/>
      <c r="D1" s="78"/>
      <c r="E1" s="78"/>
      <c r="F1" s="78"/>
      <c r="G1" s="78" t="s">
        <v>1303</v>
      </c>
      <c r="H1" s="78" t="s">
        <v>1304</v>
      </c>
    </row>
    <row r="3" spans="1:8" x14ac:dyDescent="0.25">
      <c r="A3" s="350" t="str">
        <f>"Tabela Referente à "&amp;G1</f>
        <v>Tabela Referente à Figura 4.16</v>
      </c>
      <c r="B3" s="350"/>
      <c r="C3" s="350"/>
    </row>
    <row r="4" spans="1:8" ht="31.5" customHeight="1" x14ac:dyDescent="0.25">
      <c r="A4" s="351" t="str">
        <f>H1</f>
        <v>Aproveitamento em termos de RPK/ASK, por empresa – mercado internacional, 2017 (esquerda) e 2018 (direita)</v>
      </c>
      <c r="B4" s="351"/>
      <c r="C4" s="351"/>
    </row>
    <row r="5" spans="1:8" x14ac:dyDescent="0.25">
      <c r="A5" s="1" t="s">
        <v>20</v>
      </c>
      <c r="B5" s="1">
        <v>2017</v>
      </c>
      <c r="C5" s="21">
        <v>2018</v>
      </c>
    </row>
    <row r="6" spans="1:8" x14ac:dyDescent="0.25">
      <c r="A6" s="18" t="s">
        <v>526</v>
      </c>
      <c r="B6" s="77">
        <v>0.85790017358384363</v>
      </c>
      <c r="C6" s="77">
        <v>0.83594299721016374</v>
      </c>
      <c r="D6" s="78" t="s">
        <v>387</v>
      </c>
    </row>
    <row r="7" spans="1:8" x14ac:dyDescent="0.25">
      <c r="A7" s="17" t="s">
        <v>59</v>
      </c>
      <c r="B7" s="76">
        <v>0.76088097399293109</v>
      </c>
      <c r="C7" s="76">
        <v>0.73877246210911451</v>
      </c>
      <c r="D7" s="78" t="s">
        <v>526</v>
      </c>
    </row>
    <row r="8" spans="1:8" x14ac:dyDescent="0.25">
      <c r="A8" s="18" t="s">
        <v>387</v>
      </c>
      <c r="B8" s="77">
        <v>0.86941101789702746</v>
      </c>
      <c r="C8" s="77">
        <v>0.82937708444498348</v>
      </c>
      <c r="D8" s="154">
        <f>C8/B8-1</f>
        <v>-4.6047188991094168E-2</v>
      </c>
    </row>
    <row r="9" spans="1:8" x14ac:dyDescent="0.25">
      <c r="A9" s="17" t="s">
        <v>109</v>
      </c>
      <c r="B9" s="76">
        <v>0.73694297749703797</v>
      </c>
      <c r="C9" s="76">
        <v>0.75733205141224402</v>
      </c>
      <c r="D9" s="78" t="s">
        <v>372</v>
      </c>
    </row>
    <row r="10" spans="1:8" x14ac:dyDescent="0.25">
      <c r="A10" s="18" t="s">
        <v>60</v>
      </c>
      <c r="B10" s="77">
        <v>0.89471284398911921</v>
      </c>
      <c r="C10" s="77">
        <v>0.86899358793126813</v>
      </c>
    </row>
    <row r="11" spans="1:8" x14ac:dyDescent="0.25">
      <c r="A11" s="17" t="s">
        <v>386</v>
      </c>
      <c r="B11" s="76">
        <v>0.8324638174391954</v>
      </c>
      <c r="C11" s="76">
        <v>0.81830490738636785</v>
      </c>
    </row>
    <row r="12" spans="1:8" x14ac:dyDescent="0.25">
      <c r="A12" s="18" t="s">
        <v>455</v>
      </c>
      <c r="B12" s="77">
        <v>0.79460092928790538</v>
      </c>
      <c r="C12" s="77">
        <v>0.74950653483269147</v>
      </c>
    </row>
    <row r="13" spans="1:8" x14ac:dyDescent="0.25">
      <c r="A13" s="17" t="s">
        <v>456</v>
      </c>
      <c r="B13" s="76">
        <v>0.7727420093597086</v>
      </c>
      <c r="C13" s="76">
        <v>0.82993885873443218</v>
      </c>
    </row>
    <row r="14" spans="1:8" x14ac:dyDescent="0.25">
      <c r="A14" s="18" t="s">
        <v>605</v>
      </c>
      <c r="B14" s="77">
        <v>0.8639835076356398</v>
      </c>
      <c r="C14" s="77">
        <v>0.82522260859130925</v>
      </c>
    </row>
    <row r="15" spans="1:8" x14ac:dyDescent="0.25">
      <c r="A15" s="1" t="s">
        <v>420</v>
      </c>
      <c r="B15" s="1">
        <v>0.91164686204039114</v>
      </c>
      <c r="C15" s="21">
        <v>0.90883513046614317</v>
      </c>
    </row>
  </sheetData>
  <sortState xmlns:xlrd2="http://schemas.microsoft.com/office/spreadsheetml/2017/richdata2" ref="A6:C12">
    <sortCondition descending="1" ref="C6:C12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Plan129"/>
  <dimension ref="A1:H18"/>
  <sheetViews>
    <sheetView showGridLines="0" workbookViewId="0">
      <selection activeCell="A5" sqref="A5:D15"/>
    </sheetView>
  </sheetViews>
  <sheetFormatPr defaultRowHeight="15" x14ac:dyDescent="0.25"/>
  <cols>
    <col min="1" max="1" width="9.7109375" customWidth="1"/>
    <col min="2" max="3" width="20.85546875" customWidth="1"/>
    <col min="4" max="4" width="26.42578125" customWidth="1"/>
  </cols>
  <sheetData>
    <row r="1" spans="1:8" x14ac:dyDescent="0.25">
      <c r="C1" s="78"/>
      <c r="D1" s="78"/>
      <c r="E1" s="78"/>
      <c r="F1" s="78"/>
      <c r="G1" s="78" t="s">
        <v>308</v>
      </c>
      <c r="H1" s="78" t="s">
        <v>1305</v>
      </c>
    </row>
    <row r="3" spans="1:8" x14ac:dyDescent="0.25">
      <c r="A3" s="350" t="str">
        <f>"Tabela Referente à "&amp;G1</f>
        <v>Tabela Referente à Figura 5.1</v>
      </c>
      <c r="B3" s="350"/>
      <c r="C3" s="350"/>
      <c r="D3" s="350"/>
    </row>
    <row r="4" spans="1:8" ht="17.25" customHeight="1" x14ac:dyDescent="0.25">
      <c r="A4" s="352" t="str">
        <f>H1</f>
        <v>Evolução dos Percentuais de Atrasos e Cancelamentos – indústria, por ano, 2009 a 2018</v>
      </c>
      <c r="B4" s="352"/>
      <c r="C4" s="352"/>
      <c r="D4" s="352"/>
    </row>
    <row r="5" spans="1:8" x14ac:dyDescent="0.25">
      <c r="A5" s="1" t="s">
        <v>20</v>
      </c>
      <c r="B5" s="21" t="s">
        <v>239</v>
      </c>
      <c r="C5" s="21" t="s">
        <v>240</v>
      </c>
      <c r="D5" s="21" t="s">
        <v>241</v>
      </c>
    </row>
    <row r="6" spans="1:8" x14ac:dyDescent="0.25">
      <c r="A6" s="17">
        <v>2009</v>
      </c>
      <c r="B6" s="76">
        <v>8.9729369759337291E-2</v>
      </c>
      <c r="C6" s="76">
        <v>0.10744492063727452</v>
      </c>
      <c r="D6" s="76">
        <v>4.148685856084311E-2</v>
      </c>
    </row>
    <row r="7" spans="1:8" x14ac:dyDescent="0.25">
      <c r="A7" s="18">
        <v>2010</v>
      </c>
      <c r="B7" s="77">
        <v>8.3659060697632293E-2</v>
      </c>
      <c r="C7" s="77">
        <v>0.13360920821532499</v>
      </c>
      <c r="D7" s="77">
        <v>5.0140313810378687E-2</v>
      </c>
    </row>
    <row r="8" spans="1:8" x14ac:dyDescent="0.25">
      <c r="A8" s="17">
        <v>2011</v>
      </c>
      <c r="B8" s="76">
        <v>7.9891877752103588E-2</v>
      </c>
      <c r="C8" s="76">
        <v>0.13130931193886428</v>
      </c>
      <c r="D8" s="76">
        <v>4.654453169273691E-2</v>
      </c>
    </row>
    <row r="9" spans="1:8" x14ac:dyDescent="0.25">
      <c r="A9" s="18">
        <v>2012</v>
      </c>
      <c r="B9" s="77">
        <v>7.493997644421968E-2</v>
      </c>
      <c r="C9" s="77">
        <v>0.10493933669948055</v>
      </c>
      <c r="D9" s="77">
        <v>3.5676014384830541E-2</v>
      </c>
    </row>
    <row r="10" spans="1:8" x14ac:dyDescent="0.25">
      <c r="A10" s="17">
        <v>2013</v>
      </c>
      <c r="B10" s="76">
        <v>8.4753301705010692E-2</v>
      </c>
      <c r="C10" s="76">
        <v>8.0661900974557624E-2</v>
      </c>
      <c r="D10" s="76">
        <v>3.1438482184032605E-2</v>
      </c>
    </row>
    <row r="11" spans="1:8" x14ac:dyDescent="0.25">
      <c r="A11" s="18">
        <v>2014</v>
      </c>
      <c r="B11" s="77">
        <v>0.10132568662808419</v>
      </c>
      <c r="C11" s="77">
        <v>8.2451021258857851E-2</v>
      </c>
      <c r="D11" s="77">
        <v>3.2313692348981023E-2</v>
      </c>
    </row>
    <row r="12" spans="1:8" x14ac:dyDescent="0.25">
      <c r="A12" s="17">
        <v>2015</v>
      </c>
      <c r="B12" s="76">
        <v>0.12372840529000069</v>
      </c>
      <c r="C12" s="76">
        <v>6.2703611721186658E-2</v>
      </c>
      <c r="D12" s="76">
        <v>2.4565144812223029E-2</v>
      </c>
    </row>
    <row r="13" spans="1:8" x14ac:dyDescent="0.25">
      <c r="A13" s="18">
        <v>2016</v>
      </c>
      <c r="B13" s="77">
        <v>0.10436272879822452</v>
      </c>
      <c r="C13" s="77">
        <v>6.2146478028079939E-2</v>
      </c>
      <c r="D13" s="77">
        <v>2.4794699585244058E-2</v>
      </c>
    </row>
    <row r="14" spans="1:8" x14ac:dyDescent="0.25">
      <c r="A14" s="17">
        <v>2017</v>
      </c>
      <c r="B14" s="76">
        <v>8.7979932624523402E-2</v>
      </c>
      <c r="C14" s="76">
        <v>7.0156566528997003E-2</v>
      </c>
      <c r="D14" s="76">
        <v>2.6242111662736985E-2</v>
      </c>
    </row>
    <row r="15" spans="1:8" x14ac:dyDescent="0.25">
      <c r="A15" s="18">
        <v>2018</v>
      </c>
      <c r="B15" s="77">
        <v>3.817323405438678E-2</v>
      </c>
      <c r="C15" s="77">
        <v>7.7779293795588816E-2</v>
      </c>
      <c r="D15" s="77">
        <v>2.8924536964845714E-2</v>
      </c>
    </row>
    <row r="16" spans="1:8" x14ac:dyDescent="0.25">
      <c r="A16" s="1"/>
      <c r="B16" s="1"/>
      <c r="C16" s="21"/>
      <c r="D16" s="21"/>
    </row>
    <row r="17" spans="2:4" x14ac:dyDescent="0.25">
      <c r="B17" s="115">
        <f>B15/B6-1</f>
        <v>-0.57457369692029459</v>
      </c>
      <c r="C17" s="115">
        <f>C15/C6-1</f>
        <v>-0.27610078415744288</v>
      </c>
      <c r="D17" s="115">
        <f>D15/D6-1</f>
        <v>-0.30280243025810094</v>
      </c>
    </row>
    <row r="18" spans="2:4" x14ac:dyDescent="0.25">
      <c r="B18" s="31"/>
      <c r="C18" s="31"/>
      <c r="D18" s="31"/>
    </row>
  </sheetData>
  <mergeCells count="2">
    <mergeCell ref="A4:D4"/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Plan130"/>
  <dimension ref="A1:H16"/>
  <sheetViews>
    <sheetView showGridLines="0" workbookViewId="0">
      <selection activeCell="A5" sqref="A5:D14"/>
    </sheetView>
  </sheetViews>
  <sheetFormatPr defaultRowHeight="15" x14ac:dyDescent="0.25"/>
  <cols>
    <col min="1" max="1" width="18" customWidth="1"/>
    <col min="2" max="4" width="35.85546875" customWidth="1"/>
    <col min="5" max="5" width="11.42578125" customWidth="1"/>
  </cols>
  <sheetData>
    <row r="1" spans="1:8" x14ac:dyDescent="0.25">
      <c r="C1" s="78"/>
      <c r="D1" s="78"/>
      <c r="E1" s="78"/>
      <c r="F1" s="78"/>
      <c r="G1" s="78" t="s">
        <v>309</v>
      </c>
      <c r="H1" s="78" t="s">
        <v>1306</v>
      </c>
    </row>
    <row r="3" spans="1:8" x14ac:dyDescent="0.25">
      <c r="A3" s="350" t="str">
        <f>"Tabela Referente à "&amp;G1</f>
        <v>Tabela Referente à Figura 5.2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ano anterior – indústria, 2009 a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8">
        <v>2010</v>
      </c>
      <c r="B6" s="77">
        <v>-6.7651306121798746E-2</v>
      </c>
      <c r="C6" s="77">
        <v>0.24351348972911441</v>
      </c>
      <c r="D6" s="77">
        <v>0.2085830441185306</v>
      </c>
    </row>
    <row r="7" spans="1:8" x14ac:dyDescent="0.25">
      <c r="A7" s="17">
        <v>2011</v>
      </c>
      <c r="B7" s="76">
        <v>-4.5030184586274266E-2</v>
      </c>
      <c r="C7" s="76">
        <v>-1.7213606061898007E-2</v>
      </c>
      <c r="D7" s="76">
        <v>-7.1714391960934945E-2</v>
      </c>
    </row>
    <row r="8" spans="1:8" x14ac:dyDescent="0.25">
      <c r="A8" s="18">
        <v>2012</v>
      </c>
      <c r="B8" s="77">
        <v>-6.1982537489595077E-2</v>
      </c>
      <c r="C8" s="77">
        <v>-0.20082334489469569</v>
      </c>
      <c r="D8" s="77">
        <v>-0.23350793127868891</v>
      </c>
    </row>
    <row r="9" spans="1:8" x14ac:dyDescent="0.25">
      <c r="A9" s="17">
        <v>2013</v>
      </c>
      <c r="B9" s="76">
        <v>0.13094913724846707</v>
      </c>
      <c r="C9" s="76">
        <v>-0.23134733350228143</v>
      </c>
      <c r="D9" s="76">
        <v>-0.11877818399467113</v>
      </c>
    </row>
    <row r="10" spans="1:8" x14ac:dyDescent="0.25">
      <c r="A10" s="18">
        <v>2014</v>
      </c>
      <c r="B10" s="77">
        <v>0.19553674711995001</v>
      </c>
      <c r="C10" s="77">
        <v>2.2180487475302022E-2</v>
      </c>
      <c r="D10" s="77">
        <v>2.7838817402989342E-2</v>
      </c>
    </row>
    <row r="11" spans="1:8" x14ac:dyDescent="0.25">
      <c r="A11" s="17">
        <v>2015</v>
      </c>
      <c r="B11" s="76">
        <v>0.22109614459505858</v>
      </c>
      <c r="C11" s="76">
        <v>-0.2395047294280748</v>
      </c>
      <c r="D11" s="76">
        <v>-0.2397914621787979</v>
      </c>
    </row>
    <row r="12" spans="1:8" x14ac:dyDescent="0.25">
      <c r="A12" s="18">
        <v>2016</v>
      </c>
      <c r="B12" s="77">
        <v>-0.15651762783482057</v>
      </c>
      <c r="C12" s="77">
        <v>-8.8851930186099898E-3</v>
      </c>
      <c r="D12" s="77">
        <v>9.344735183763624E-3</v>
      </c>
    </row>
    <row r="13" spans="1:8" x14ac:dyDescent="0.25">
      <c r="A13" s="17">
        <v>2017</v>
      </c>
      <c r="B13" s="76">
        <v>-0.15697937723893463</v>
      </c>
      <c r="C13" s="76">
        <v>0.1288904658007784</v>
      </c>
      <c r="D13" s="76">
        <v>5.837586668540716E-2</v>
      </c>
    </row>
    <row r="14" spans="1:8" x14ac:dyDescent="0.25">
      <c r="A14" s="18">
        <v>2018</v>
      </c>
      <c r="B14" s="77">
        <v>-0.56611430680106678</v>
      </c>
      <c r="C14" s="77">
        <v>0.10865308329251261</v>
      </c>
      <c r="D14" s="77">
        <v>0.10221834799665504</v>
      </c>
    </row>
    <row r="15" spans="1:8" x14ac:dyDescent="0.25">
      <c r="A15" s="1"/>
      <c r="B15" s="1"/>
      <c r="C15" s="21"/>
      <c r="D15" s="21"/>
    </row>
    <row r="16" spans="1:8" x14ac:dyDescent="0.25">
      <c r="B16" s="78" t="s">
        <v>239</v>
      </c>
      <c r="C16" s="78" t="s">
        <v>240</v>
      </c>
      <c r="D16" s="78" t="s">
        <v>241</v>
      </c>
    </row>
  </sheetData>
  <mergeCells count="2">
    <mergeCell ref="A4:D4"/>
    <mergeCell ref="A3:D3"/>
  </mergeCells>
  <pageMargins left="0.511811024" right="0.511811024" top="0.78740157499999996" bottom="0.78740157499999996" header="0.31496062000000002" footer="0.31496062000000002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Plan131"/>
  <dimension ref="A1:H18"/>
  <sheetViews>
    <sheetView showGridLines="0" workbookViewId="0">
      <selection activeCell="A5" sqref="A5:D17"/>
    </sheetView>
  </sheetViews>
  <sheetFormatPr defaultRowHeight="15" x14ac:dyDescent="0.25"/>
  <cols>
    <col min="1" max="1" width="7.71093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310</v>
      </c>
      <c r="H1" s="78" t="s">
        <v>1307</v>
      </c>
    </row>
    <row r="3" spans="1:8" x14ac:dyDescent="0.25">
      <c r="A3" s="350" t="str">
        <f>"Tabela Referente à "&amp;G1</f>
        <v>Tabela Referente à Figura 5.3</v>
      </c>
      <c r="B3" s="350"/>
      <c r="C3" s="350"/>
      <c r="D3" s="350"/>
    </row>
    <row r="4" spans="1:8" x14ac:dyDescent="0.25">
      <c r="A4" s="351" t="str">
        <f>H1</f>
        <v>Evolução dos Percentuais de Atrasos e Cancelamentos – indústria, por mês,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76">
        <v>0.10752760195139377</v>
      </c>
      <c r="C6" s="76">
        <v>7.7378197510788671E-2</v>
      </c>
      <c r="D6" s="76">
        <v>2.6530739883670024E-2</v>
      </c>
      <c r="E6" s="78">
        <v>1</v>
      </c>
    </row>
    <row r="7" spans="1:8" x14ac:dyDescent="0.25">
      <c r="A7" s="18" t="s">
        <v>22</v>
      </c>
      <c r="B7" s="77">
        <v>0.12537336491914719</v>
      </c>
      <c r="C7" s="77">
        <v>4.809079400594695E-2</v>
      </c>
      <c r="D7" s="77">
        <v>1.7296199252215386E-2</v>
      </c>
      <c r="E7" s="78">
        <v>2</v>
      </c>
    </row>
    <row r="8" spans="1:8" x14ac:dyDescent="0.25">
      <c r="A8" s="17" t="s">
        <v>23</v>
      </c>
      <c r="B8" s="76">
        <v>6.2449940825572918E-2</v>
      </c>
      <c r="C8" s="76">
        <v>6.5423897382279064E-2</v>
      </c>
      <c r="D8" s="76">
        <v>2.4417611281828962E-2</v>
      </c>
      <c r="E8" s="78">
        <v>3</v>
      </c>
    </row>
    <row r="9" spans="1:8" x14ac:dyDescent="0.25">
      <c r="A9" s="18" t="s">
        <v>24</v>
      </c>
      <c r="B9" s="77">
        <v>1.1462998507144381E-2</v>
      </c>
      <c r="C9" s="77">
        <v>5.1318699099293458E-2</v>
      </c>
      <c r="D9" s="77">
        <v>1.8189418046491559E-2</v>
      </c>
      <c r="E9" s="78">
        <v>4</v>
      </c>
    </row>
    <row r="10" spans="1:8" x14ac:dyDescent="0.25">
      <c r="A10" s="17" t="s">
        <v>25</v>
      </c>
      <c r="B10" s="76">
        <v>2.5505348509650159E-2</v>
      </c>
      <c r="C10" s="76">
        <v>7.1500188809458701E-2</v>
      </c>
      <c r="D10" s="76">
        <v>2.6628644348086514E-2</v>
      </c>
      <c r="E10" s="78">
        <v>5</v>
      </c>
    </row>
    <row r="11" spans="1:8" x14ac:dyDescent="0.25">
      <c r="A11" s="18" t="s">
        <v>26</v>
      </c>
      <c r="B11" s="77">
        <v>1.8231166423937507E-2</v>
      </c>
      <c r="C11" s="77">
        <v>7.5802732188852778E-2</v>
      </c>
      <c r="D11" s="77">
        <v>2.6742006392189124E-2</v>
      </c>
      <c r="E11" s="78">
        <v>6</v>
      </c>
    </row>
    <row r="12" spans="1:8" x14ac:dyDescent="0.25">
      <c r="A12" s="17" t="s">
        <v>27</v>
      </c>
      <c r="B12" s="76">
        <v>1.8281987592263411E-2</v>
      </c>
      <c r="C12" s="76">
        <v>0.10602681248051418</v>
      </c>
      <c r="D12" s="76">
        <v>4.4439647936302375E-2</v>
      </c>
      <c r="E12" s="78">
        <v>7</v>
      </c>
    </row>
    <row r="13" spans="1:8" x14ac:dyDescent="0.25">
      <c r="A13" s="18" t="s">
        <v>28</v>
      </c>
      <c r="B13" s="77">
        <v>1.2989275138726454E-2</v>
      </c>
      <c r="C13" s="77">
        <v>5.7695701500063028E-2</v>
      </c>
      <c r="D13" s="77">
        <v>2.062271524013614E-2</v>
      </c>
      <c r="E13" s="78">
        <v>8</v>
      </c>
    </row>
    <row r="14" spans="1:8" x14ac:dyDescent="0.25">
      <c r="A14" s="17" t="s">
        <v>29</v>
      </c>
      <c r="B14" s="76">
        <v>1.3790683165228242E-2</v>
      </c>
      <c r="C14" s="76">
        <v>5.5973640856672155E-2</v>
      </c>
      <c r="D14" s="76">
        <v>2.1799011532125205E-2</v>
      </c>
      <c r="E14" s="78">
        <v>9</v>
      </c>
    </row>
    <row r="15" spans="1:8" x14ac:dyDescent="0.25">
      <c r="A15" s="18" t="s">
        <v>30</v>
      </c>
      <c r="B15" s="77">
        <v>1.4246955643889204E-2</v>
      </c>
      <c r="C15" s="77">
        <v>7.5157458139177638E-2</v>
      </c>
      <c r="D15" s="77">
        <v>2.6243023196272211E-2</v>
      </c>
      <c r="E15" s="78">
        <v>10</v>
      </c>
    </row>
    <row r="16" spans="1:8" x14ac:dyDescent="0.25">
      <c r="A16" s="17" t="s">
        <v>31</v>
      </c>
      <c r="B16" s="76">
        <v>1.9442970822281167E-2</v>
      </c>
      <c r="C16" s="76">
        <v>0.11911975545757027</v>
      </c>
      <c r="D16" s="76">
        <v>4.5391835961803774E-2</v>
      </c>
      <c r="E16" s="78">
        <v>11</v>
      </c>
    </row>
    <row r="17" spans="1:5" x14ac:dyDescent="0.25">
      <c r="A17" s="18" t="s">
        <v>32</v>
      </c>
      <c r="B17" s="77">
        <v>1.8768081002892959E-2</v>
      </c>
      <c r="C17" s="77">
        <v>0.12261218873997273</v>
      </c>
      <c r="D17" s="77">
        <v>4.571084603761532E-2</v>
      </c>
      <c r="E17" s="78">
        <v>12</v>
      </c>
    </row>
    <row r="18" spans="1:5" x14ac:dyDescent="0.25">
      <c r="A18" s="1"/>
      <c r="B18" s="21"/>
      <c r="C18" s="21"/>
      <c r="D18" s="21"/>
    </row>
  </sheetData>
  <mergeCells count="2">
    <mergeCell ref="A3:D3"/>
    <mergeCell ref="A4:D4"/>
  </mergeCells>
  <conditionalFormatting sqref="B6:B17">
    <cfRule type="top10" priority="1" bottom="1" rank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Plan132"/>
  <dimension ref="A1:H19"/>
  <sheetViews>
    <sheetView showGridLines="0" workbookViewId="0">
      <selection activeCell="A5" sqref="A5:D17"/>
    </sheetView>
  </sheetViews>
  <sheetFormatPr defaultRowHeight="15" x14ac:dyDescent="0.25"/>
  <cols>
    <col min="1" max="1" width="6.855468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311</v>
      </c>
      <c r="H1" s="78" t="s">
        <v>1308</v>
      </c>
    </row>
    <row r="3" spans="1:8" x14ac:dyDescent="0.25">
      <c r="A3" s="350" t="str">
        <f>"Tabela Referente à "&amp;G1</f>
        <v>Tabela Referente à Figura 5.4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mesmo mês do ano anterior, – indústria,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76">
        <v>0.35194974455241274</v>
      </c>
      <c r="C6" s="76">
        <v>9.067912217269769E-2</v>
      </c>
      <c r="D6" s="76">
        <v>0.1064110701303584</v>
      </c>
      <c r="E6" s="116">
        <v>1</v>
      </c>
    </row>
    <row r="7" spans="1:8" x14ac:dyDescent="0.25">
      <c r="A7" s="18" t="s">
        <v>22</v>
      </c>
      <c r="B7" s="77">
        <v>0.3840852856247538</v>
      </c>
      <c r="C7" s="77">
        <v>-0.2372882835610266</v>
      </c>
      <c r="D7" s="77">
        <v>-0.3156079621314074</v>
      </c>
      <c r="E7" s="116">
        <v>2</v>
      </c>
    </row>
    <row r="8" spans="1:8" x14ac:dyDescent="0.25">
      <c r="A8" s="17" t="s">
        <v>23</v>
      </c>
      <c r="B8" s="76">
        <v>4.8695213136801835E-2</v>
      </c>
      <c r="C8" s="76">
        <v>0.29968794636493856</v>
      </c>
      <c r="D8" s="76">
        <v>0.37575152453638172</v>
      </c>
      <c r="E8" s="116">
        <v>3</v>
      </c>
    </row>
    <row r="9" spans="1:8" x14ac:dyDescent="0.25">
      <c r="A9" s="18" t="s">
        <v>24</v>
      </c>
      <c r="B9" s="77">
        <v>-0.86486720223017444</v>
      </c>
      <c r="C9" s="77">
        <v>-0.11844467495822131</v>
      </c>
      <c r="D9" s="77">
        <v>-0.10947126640090678</v>
      </c>
      <c r="E9" s="116">
        <v>4</v>
      </c>
    </row>
    <row r="10" spans="1:8" x14ac:dyDescent="0.25">
      <c r="A10" s="17" t="s">
        <v>25</v>
      </c>
      <c r="B10" s="76">
        <v>-0.68570411405498366</v>
      </c>
      <c r="C10" s="76">
        <v>0.1515109958051114</v>
      </c>
      <c r="D10" s="76">
        <v>3.7792633604917893E-2</v>
      </c>
      <c r="E10" s="116">
        <v>5</v>
      </c>
    </row>
    <row r="11" spans="1:8" x14ac:dyDescent="0.25">
      <c r="A11" s="18" t="s">
        <v>26</v>
      </c>
      <c r="B11" s="77">
        <v>-0.81418942503279856</v>
      </c>
      <c r="C11" s="77">
        <v>0.45357653162353323</v>
      </c>
      <c r="D11" s="77">
        <v>0.34251594939558389</v>
      </c>
      <c r="E11" s="116">
        <v>6</v>
      </c>
    </row>
    <row r="12" spans="1:8" x14ac:dyDescent="0.25">
      <c r="A12" s="17" t="s">
        <v>27</v>
      </c>
      <c r="B12" s="76">
        <v>-0.79448608674224996</v>
      </c>
      <c r="C12" s="76">
        <v>0.54493039484318817</v>
      </c>
      <c r="D12" s="76">
        <v>0.73568697424721974</v>
      </c>
      <c r="E12" s="116">
        <v>7</v>
      </c>
    </row>
    <row r="13" spans="1:8" x14ac:dyDescent="0.25">
      <c r="A13" s="18" t="s">
        <v>28</v>
      </c>
      <c r="B13" s="77">
        <v>-0.8684344612417817</v>
      </c>
      <c r="C13" s="77">
        <v>-0.15190687378244372</v>
      </c>
      <c r="D13" s="77">
        <v>-0.16069917217791535</v>
      </c>
      <c r="E13" s="116">
        <v>8</v>
      </c>
    </row>
    <row r="14" spans="1:8" x14ac:dyDescent="0.25">
      <c r="A14" s="17" t="s">
        <v>29</v>
      </c>
      <c r="B14" s="76">
        <v>-0.83508482209337853</v>
      </c>
      <c r="C14" s="76">
        <v>-0.16928490660235296</v>
      </c>
      <c r="D14" s="76">
        <v>-0.10377366444597488</v>
      </c>
      <c r="E14" s="116">
        <v>9</v>
      </c>
    </row>
    <row r="15" spans="1:8" x14ac:dyDescent="0.25">
      <c r="A15" s="18" t="s">
        <v>30</v>
      </c>
      <c r="B15" s="77">
        <v>-0.84735270165584486</v>
      </c>
      <c r="C15" s="77">
        <v>-0.17724188028426904</v>
      </c>
      <c r="D15" s="77">
        <v>-0.26882639806565151</v>
      </c>
      <c r="E15" s="116">
        <v>10</v>
      </c>
    </row>
    <row r="16" spans="1:8" x14ac:dyDescent="0.25">
      <c r="A16" s="17" t="s">
        <v>31</v>
      </c>
      <c r="B16" s="76">
        <v>-0.79347498551010465</v>
      </c>
      <c r="C16" s="76">
        <v>0.29747848685952322</v>
      </c>
      <c r="D16" s="76">
        <v>0.30697245490021147</v>
      </c>
      <c r="E16" s="116">
        <v>11</v>
      </c>
    </row>
    <row r="17" spans="1:5" x14ac:dyDescent="0.25">
      <c r="A17" s="18" t="s">
        <v>32</v>
      </c>
      <c r="B17" s="77">
        <v>-0.81991403904484805</v>
      </c>
      <c r="C17" s="77">
        <v>0.25233169384727711</v>
      </c>
      <c r="D17" s="77">
        <v>0.23453132248204164</v>
      </c>
      <c r="E17" s="116">
        <v>12</v>
      </c>
    </row>
    <row r="18" spans="1:5" x14ac:dyDescent="0.25">
      <c r="A18" s="1"/>
      <c r="B18" s="21"/>
      <c r="C18" s="21"/>
      <c r="D18" s="21"/>
    </row>
    <row r="19" spans="1:5" x14ac:dyDescent="0.25">
      <c r="B19" s="78" t="s">
        <v>239</v>
      </c>
      <c r="C19" s="78" t="s">
        <v>240</v>
      </c>
      <c r="D19" s="78" t="s">
        <v>241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4"/>
  <dimension ref="A1:H18"/>
  <sheetViews>
    <sheetView showGridLines="0" workbookViewId="0">
      <selection activeCell="F27" sqref="F27"/>
    </sheetView>
  </sheetViews>
  <sheetFormatPr defaultRowHeight="15" x14ac:dyDescent="0.25"/>
  <cols>
    <col min="1" max="1" width="9.28515625" style="313" customWidth="1"/>
    <col min="2" max="2" width="49.140625" style="313" customWidth="1"/>
    <col min="3" max="16384" width="9.140625" style="313"/>
  </cols>
  <sheetData>
    <row r="1" spans="1:8" x14ac:dyDescent="0.25">
      <c r="C1" s="78"/>
      <c r="D1" s="78"/>
      <c r="E1" s="78"/>
      <c r="F1" s="78"/>
      <c r="G1" s="78" t="s">
        <v>248</v>
      </c>
      <c r="H1" s="78" t="s">
        <v>1135</v>
      </c>
    </row>
    <row r="3" spans="1:8" x14ac:dyDescent="0.25">
      <c r="A3" s="350" t="str">
        <f>"Tabela Referente à "&amp;G1</f>
        <v>Tabela Referente à Figura 2.3</v>
      </c>
      <c r="B3" s="350"/>
    </row>
    <row r="4" spans="1:8" ht="32.25" customHeight="1" x14ac:dyDescent="0.25">
      <c r="A4" s="351" t="str">
        <f>H1</f>
        <v>Variação na quantidade de voos com relação ao mesmo mês do ano anterior – mercados doméstico e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2.4998831284184939E-2</v>
      </c>
      <c r="C6" s="78">
        <v>1</v>
      </c>
    </row>
    <row r="7" spans="1:8" x14ac:dyDescent="0.25">
      <c r="A7" s="18" t="s">
        <v>48</v>
      </c>
      <c r="B7" s="11">
        <v>2.247997790665562E-2</v>
      </c>
      <c r="C7" s="78">
        <v>2</v>
      </c>
    </row>
    <row r="8" spans="1:8" x14ac:dyDescent="0.25">
      <c r="A8" s="17" t="s">
        <v>49</v>
      </c>
      <c r="B8" s="10">
        <v>-6.4456950194610408E-3</v>
      </c>
      <c r="C8" s="78">
        <v>3</v>
      </c>
    </row>
    <row r="9" spans="1:8" x14ac:dyDescent="0.25">
      <c r="A9" s="18" t="s">
        <v>50</v>
      </c>
      <c r="B9" s="11">
        <v>6.2795102668277147E-2</v>
      </c>
      <c r="C9" s="78">
        <v>4</v>
      </c>
    </row>
    <row r="10" spans="1:8" x14ac:dyDescent="0.25">
      <c r="A10" s="17" t="s">
        <v>51</v>
      </c>
      <c r="B10" s="10">
        <v>4.0575017807420836E-2</v>
      </c>
      <c r="C10" s="78">
        <v>5</v>
      </c>
    </row>
    <row r="11" spans="1:8" x14ac:dyDescent="0.25">
      <c r="A11" s="18" t="s">
        <v>52</v>
      </c>
      <c r="B11" s="11">
        <v>5.0041587695496256E-2</v>
      </c>
      <c r="C11" s="78">
        <v>6</v>
      </c>
    </row>
    <row r="12" spans="1:8" x14ac:dyDescent="0.25">
      <c r="A12" s="17" t="s">
        <v>53</v>
      </c>
      <c r="B12" s="10">
        <v>4.8917363134950265E-2</v>
      </c>
      <c r="C12" s="78">
        <v>7</v>
      </c>
    </row>
    <row r="13" spans="1:8" x14ac:dyDescent="0.25">
      <c r="A13" s="18" t="s">
        <v>54</v>
      </c>
      <c r="B13" s="11">
        <v>2.9167714357555947E-2</v>
      </c>
      <c r="C13" s="78">
        <v>8</v>
      </c>
    </row>
    <row r="14" spans="1:8" x14ac:dyDescent="0.25">
      <c r="A14" s="17" t="s">
        <v>55</v>
      </c>
      <c r="B14" s="10">
        <v>2.5244523588179069E-2</v>
      </c>
      <c r="C14" s="78">
        <v>9</v>
      </c>
    </row>
    <row r="15" spans="1:8" x14ac:dyDescent="0.25">
      <c r="A15" s="18" t="s">
        <v>56</v>
      </c>
      <c r="B15" s="11">
        <v>2.6512170977485594E-2</v>
      </c>
      <c r="C15" s="78">
        <v>10</v>
      </c>
    </row>
    <row r="16" spans="1:8" x14ac:dyDescent="0.25">
      <c r="A16" s="17" t="s">
        <v>57</v>
      </c>
      <c r="B16" s="10">
        <v>8.2853259110622049E-4</v>
      </c>
      <c r="C16" s="78">
        <v>11</v>
      </c>
    </row>
    <row r="17" spans="1:3" x14ac:dyDescent="0.25">
      <c r="A17" s="18" t="s">
        <v>58</v>
      </c>
      <c r="B17" s="11">
        <v>1.0175354884886079E-2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Plan173"/>
  <dimension ref="A1:H18"/>
  <sheetViews>
    <sheetView showGridLines="0" workbookViewId="0">
      <selection activeCell="A5" sqref="A5:D15"/>
    </sheetView>
  </sheetViews>
  <sheetFormatPr defaultRowHeight="15" x14ac:dyDescent="0.25"/>
  <cols>
    <col min="1" max="1" width="9.7109375" customWidth="1"/>
    <col min="2" max="4" width="20.85546875" customWidth="1"/>
  </cols>
  <sheetData>
    <row r="1" spans="1:8" x14ac:dyDescent="0.25">
      <c r="C1" s="78"/>
      <c r="D1" s="78"/>
      <c r="E1" s="78"/>
      <c r="F1" s="78"/>
      <c r="G1" s="78" t="s">
        <v>312</v>
      </c>
      <c r="H1" s="78" t="s">
        <v>1309</v>
      </c>
    </row>
    <row r="3" spans="1:8" x14ac:dyDescent="0.25">
      <c r="A3" s="350" t="str">
        <f>"Tabela Referente à "&amp;G1</f>
        <v>Tabela Referente à Figura 5.5</v>
      </c>
      <c r="B3" s="350"/>
      <c r="C3" s="350"/>
      <c r="D3" s="350"/>
    </row>
    <row r="4" spans="1:8" ht="27.75" customHeight="1" x14ac:dyDescent="0.25">
      <c r="A4" s="351" t="str">
        <f>H1</f>
        <v>Evolução dos Percentuais de Atrasos e Cancelamentos – mercado doméstico, por ano, 2009 a 2018</v>
      </c>
      <c r="B4" s="351"/>
      <c r="C4" s="351"/>
      <c r="D4" s="351"/>
    </row>
    <row r="5" spans="1:8" x14ac:dyDescent="0.25">
      <c r="A5" s="1" t="s">
        <v>20</v>
      </c>
      <c r="B5" s="21" t="s">
        <v>239</v>
      </c>
      <c r="C5" s="21" t="s">
        <v>240</v>
      </c>
      <c r="D5" s="21" t="s">
        <v>241</v>
      </c>
    </row>
    <row r="6" spans="1:8" x14ac:dyDescent="0.25">
      <c r="A6" s="17">
        <v>2009</v>
      </c>
      <c r="B6" s="76">
        <v>9.4159355379145257E-2</v>
      </c>
      <c r="C6" s="76">
        <v>0.10589233975790474</v>
      </c>
      <c r="D6" s="76">
        <v>3.798628050526219E-2</v>
      </c>
    </row>
    <row r="7" spans="1:8" x14ac:dyDescent="0.25">
      <c r="A7" s="18">
        <v>2010</v>
      </c>
      <c r="B7" s="77">
        <v>8.6554818730963948E-2</v>
      </c>
      <c r="C7" s="77">
        <v>0.12996872552809746</v>
      </c>
      <c r="D7" s="77">
        <v>4.5999742270596049E-2</v>
      </c>
    </row>
    <row r="8" spans="1:8" x14ac:dyDescent="0.25">
      <c r="A8" s="17">
        <v>2011</v>
      </c>
      <c r="B8" s="76">
        <v>8.4933043076720102E-2</v>
      </c>
      <c r="C8" s="76">
        <v>0.1274566666557439</v>
      </c>
      <c r="D8" s="76">
        <v>4.1913930786799621E-2</v>
      </c>
    </row>
    <row r="9" spans="1:8" x14ac:dyDescent="0.25">
      <c r="A9" s="18">
        <v>2012</v>
      </c>
      <c r="B9" s="77">
        <v>7.920357829451373E-2</v>
      </c>
      <c r="C9" s="77">
        <v>0.1022762562634817</v>
      </c>
      <c r="D9" s="77">
        <v>3.2555416600219905E-2</v>
      </c>
    </row>
    <row r="10" spans="1:8" x14ac:dyDescent="0.25">
      <c r="A10" s="17">
        <v>2013</v>
      </c>
      <c r="B10" s="76">
        <v>9.1577552298329978E-2</v>
      </c>
      <c r="C10" s="76">
        <v>7.7212390120829449E-2</v>
      </c>
      <c r="D10" s="76">
        <v>2.8993266432659308E-2</v>
      </c>
    </row>
    <row r="11" spans="1:8" x14ac:dyDescent="0.25">
      <c r="A11" s="18">
        <v>2014</v>
      </c>
      <c r="B11" s="77">
        <v>0.11146140279246196</v>
      </c>
      <c r="C11" s="77">
        <v>7.8981305426452694E-2</v>
      </c>
      <c r="D11" s="77">
        <v>2.9431859067737341E-2</v>
      </c>
    </row>
    <row r="12" spans="1:8" x14ac:dyDescent="0.25">
      <c r="A12" s="17">
        <v>2015</v>
      </c>
      <c r="B12" s="76">
        <v>0.13795667756184263</v>
      </c>
      <c r="C12" s="76">
        <v>5.9907365796706087E-2</v>
      </c>
      <c r="D12" s="76">
        <v>2.214684621412457E-2</v>
      </c>
    </row>
    <row r="13" spans="1:8" x14ac:dyDescent="0.25">
      <c r="A13" s="18">
        <v>2016</v>
      </c>
      <c r="B13" s="77">
        <v>0.11732042779963861</v>
      </c>
      <c r="C13" s="77">
        <v>5.86821742682751E-2</v>
      </c>
      <c r="D13" s="77">
        <v>2.1911804629159367E-2</v>
      </c>
    </row>
    <row r="14" spans="1:8" x14ac:dyDescent="0.25">
      <c r="A14" s="17">
        <v>2017</v>
      </c>
      <c r="B14" s="76">
        <v>0.100139911634757</v>
      </c>
      <c r="C14" s="76">
        <v>6.8201842319893721E-2</v>
      </c>
      <c r="D14" s="76">
        <v>2.3840503214649089E-2</v>
      </c>
    </row>
    <row r="15" spans="1:8" x14ac:dyDescent="0.25">
      <c r="A15" s="18">
        <v>2018</v>
      </c>
      <c r="B15" s="77">
        <v>4.2282597174669138E-2</v>
      </c>
      <c r="C15" s="77">
        <v>7.4907311724729017E-2</v>
      </c>
      <c r="D15" s="77">
        <v>2.6161193307655581E-2</v>
      </c>
    </row>
    <row r="16" spans="1:8" x14ac:dyDescent="0.25">
      <c r="A16" s="1"/>
      <c r="B16" s="1"/>
      <c r="C16" s="21"/>
      <c r="D16" s="21"/>
    </row>
    <row r="17" spans="2:4" x14ac:dyDescent="0.25">
      <c r="B17" s="115">
        <f>B15/B6-1</f>
        <v>-0.55094640352610114</v>
      </c>
      <c r="C17" s="115">
        <f>C15/C6-1</f>
        <v>-0.29260877702782773</v>
      </c>
      <c r="D17" s="115">
        <f>D15/D6-1</f>
        <v>-0.31129889634676122</v>
      </c>
    </row>
    <row r="18" spans="2:4" x14ac:dyDescent="0.25">
      <c r="B18" s="31"/>
      <c r="C18" s="31"/>
      <c r="D18" s="31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Plan175"/>
  <dimension ref="A1:H16"/>
  <sheetViews>
    <sheetView showGridLines="0" topLeftCell="A4" workbookViewId="0">
      <selection activeCell="A5" sqref="A5:D14"/>
    </sheetView>
  </sheetViews>
  <sheetFormatPr defaultRowHeight="15" x14ac:dyDescent="0.25"/>
  <cols>
    <col min="1" max="1" width="18" customWidth="1"/>
    <col min="2" max="4" width="35.85546875" customWidth="1"/>
    <col min="5" max="5" width="11.42578125" customWidth="1"/>
  </cols>
  <sheetData>
    <row r="1" spans="1:8" x14ac:dyDescent="0.25">
      <c r="C1" s="78"/>
      <c r="D1" s="78"/>
      <c r="E1" s="78"/>
      <c r="F1" s="78"/>
      <c r="G1" s="78" t="s">
        <v>313</v>
      </c>
      <c r="H1" s="78" t="s">
        <v>1310</v>
      </c>
    </row>
    <row r="3" spans="1:8" x14ac:dyDescent="0.25">
      <c r="A3" s="350" t="str">
        <f>"Tabela Referente à "&amp;G1</f>
        <v>Tabela Referente à Figura 5.6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ano anterior – mercado doméstico, 2009 a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>
        <v>2010</v>
      </c>
      <c r="B6" s="76">
        <v>-8.0762411951108032E-2</v>
      </c>
      <c r="C6" s="76">
        <v>0.22736664262247022</v>
      </c>
      <c r="D6" s="76">
        <v>0.21095673645182933</v>
      </c>
    </row>
    <row r="7" spans="1:8" x14ac:dyDescent="0.25">
      <c r="A7" s="18">
        <v>2011</v>
      </c>
      <c r="B7" s="77">
        <v>-1.8736977074433808E-2</v>
      </c>
      <c r="C7" s="77">
        <v>-1.9328179622800788E-2</v>
      </c>
      <c r="D7" s="77">
        <v>-8.8822486433976403E-2</v>
      </c>
    </row>
    <row r="8" spans="1:8" x14ac:dyDescent="0.25">
      <c r="A8" s="17">
        <v>2012</v>
      </c>
      <c r="B8" s="76">
        <v>-6.7458607093954487E-2</v>
      </c>
      <c r="C8" s="76">
        <v>-0.19756055962355915</v>
      </c>
      <c r="D8" s="76">
        <v>-0.22327932529599651</v>
      </c>
    </row>
    <row r="9" spans="1:8" x14ac:dyDescent="0.25">
      <c r="A9" s="18">
        <v>2013</v>
      </c>
      <c r="B9" s="77">
        <v>0.15622998695594753</v>
      </c>
      <c r="C9" s="77">
        <v>-0.24506045741529009</v>
      </c>
      <c r="D9" s="77">
        <v>-0.10941804896259677</v>
      </c>
    </row>
    <row r="10" spans="1:8" x14ac:dyDescent="0.25">
      <c r="A10" s="17">
        <v>2014</v>
      </c>
      <c r="B10" s="76">
        <v>0.2171258129869735</v>
      </c>
      <c r="C10" s="76">
        <v>2.2909733824520575E-2</v>
      </c>
      <c r="D10" s="76">
        <v>1.5127396428295609E-2</v>
      </c>
    </row>
    <row r="11" spans="1:8" x14ac:dyDescent="0.25">
      <c r="A11" s="18">
        <v>2015</v>
      </c>
      <c r="B11" s="77">
        <v>0.23770806849357654</v>
      </c>
      <c r="C11" s="77">
        <v>-0.24149942225895771</v>
      </c>
      <c r="D11" s="77">
        <v>-0.2475213283960872</v>
      </c>
    </row>
    <row r="12" spans="1:8" x14ac:dyDescent="0.25">
      <c r="A12" s="17">
        <v>2016</v>
      </c>
      <c r="B12" s="76">
        <v>-0.14958500108088851</v>
      </c>
      <c r="C12" s="76">
        <v>-2.0451433845190905E-2</v>
      </c>
      <c r="D12" s="76">
        <v>-1.061286933104276E-2</v>
      </c>
    </row>
    <row r="13" spans="1:8" x14ac:dyDescent="0.25">
      <c r="A13" s="18">
        <v>2017</v>
      </c>
      <c r="B13" s="77">
        <v>-0.14644096076961746</v>
      </c>
      <c r="C13" s="77">
        <v>0.16222418767406113</v>
      </c>
      <c r="D13" s="77">
        <v>8.8020983124460966E-2</v>
      </c>
    </row>
    <row r="14" spans="1:8" x14ac:dyDescent="0.25">
      <c r="A14" s="17">
        <v>2018</v>
      </c>
      <c r="B14" s="76">
        <v>-0.57776478444591006</v>
      </c>
      <c r="C14" s="76">
        <v>9.8318009847651655E-2</v>
      </c>
      <c r="D14" s="76">
        <v>9.734232839433167E-2</v>
      </c>
    </row>
    <row r="15" spans="1:8" x14ac:dyDescent="0.25">
      <c r="A15" s="1"/>
      <c r="B15" s="1"/>
      <c r="C15" s="21"/>
      <c r="D15" s="21"/>
    </row>
    <row r="16" spans="1:8" x14ac:dyDescent="0.25">
      <c r="B16" s="78" t="s">
        <v>239</v>
      </c>
      <c r="C16" s="78" t="s">
        <v>240</v>
      </c>
      <c r="D16" s="78" t="s">
        <v>241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Plan179"/>
  <dimension ref="A1:H18"/>
  <sheetViews>
    <sheetView showGridLines="0" workbookViewId="0">
      <selection activeCell="A5" sqref="A5:D17"/>
    </sheetView>
  </sheetViews>
  <sheetFormatPr defaultRowHeight="15" x14ac:dyDescent="0.25"/>
  <cols>
    <col min="1" max="1" width="7.71093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314</v>
      </c>
      <c r="H1" s="78" t="s">
        <v>1311</v>
      </c>
    </row>
    <row r="3" spans="1:8" x14ac:dyDescent="0.25">
      <c r="A3" s="350" t="str">
        <f>"Tabela Referente à "&amp;G1</f>
        <v>Tabela Referente à Figura 5.7</v>
      </c>
      <c r="B3" s="350"/>
      <c r="C3" s="350"/>
      <c r="D3" s="350"/>
    </row>
    <row r="4" spans="1:8" x14ac:dyDescent="0.25">
      <c r="A4" s="351" t="str">
        <f>H1</f>
        <v>Percentuais mensais de Atrasos e Cancelamentos – mercado doméstico,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76">
        <v>0.12644283342108462</v>
      </c>
      <c r="C6" s="76">
        <v>7.4365988223839774E-2</v>
      </c>
      <c r="D6" s="76">
        <v>2.3335960560681223E-2</v>
      </c>
      <c r="E6" s="78">
        <v>1</v>
      </c>
    </row>
    <row r="7" spans="1:8" x14ac:dyDescent="0.25">
      <c r="A7" s="18" t="s">
        <v>22</v>
      </c>
      <c r="B7" s="77">
        <v>0.150093984962406</v>
      </c>
      <c r="C7" s="77">
        <v>4.43436912529028E-2</v>
      </c>
      <c r="D7" s="77">
        <v>1.4025581481071915E-2</v>
      </c>
      <c r="E7" s="78">
        <v>2</v>
      </c>
    </row>
    <row r="8" spans="1:8" x14ac:dyDescent="0.25">
      <c r="A8" s="17" t="s">
        <v>23</v>
      </c>
      <c r="B8" s="76">
        <v>7.1518138971764608E-2</v>
      </c>
      <c r="C8" s="76">
        <v>6.3661342150607744E-2</v>
      </c>
      <c r="D8" s="76">
        <v>2.2167372980021423E-2</v>
      </c>
      <c r="E8" s="78">
        <v>3</v>
      </c>
    </row>
    <row r="9" spans="1:8" x14ac:dyDescent="0.25">
      <c r="A9" s="18" t="s">
        <v>24</v>
      </c>
      <c r="B9" s="77">
        <v>8.6449944703188529E-3</v>
      </c>
      <c r="C9" s="77">
        <v>4.5801646659543713E-2</v>
      </c>
      <c r="D9" s="77">
        <v>1.5005342216076929E-2</v>
      </c>
      <c r="E9" s="78">
        <v>4</v>
      </c>
    </row>
    <row r="10" spans="1:8" x14ac:dyDescent="0.25">
      <c r="A10" s="17" t="s">
        <v>25</v>
      </c>
      <c r="B10" s="76">
        <v>2.6284701712935617E-2</v>
      </c>
      <c r="C10" s="76">
        <v>6.9138610858356084E-2</v>
      </c>
      <c r="D10" s="76">
        <v>2.4037003336366394E-2</v>
      </c>
      <c r="E10" s="78">
        <v>5</v>
      </c>
    </row>
    <row r="11" spans="1:8" x14ac:dyDescent="0.25">
      <c r="A11" s="18" t="s">
        <v>26</v>
      </c>
      <c r="B11" s="77">
        <v>1.757265168991624E-2</v>
      </c>
      <c r="C11" s="77">
        <v>7.2241308664544396E-2</v>
      </c>
      <c r="D11" s="77">
        <v>2.4017398430359001E-2</v>
      </c>
      <c r="E11" s="78">
        <v>6</v>
      </c>
    </row>
    <row r="12" spans="1:8" x14ac:dyDescent="0.25">
      <c r="A12" s="17" t="s">
        <v>27</v>
      </c>
      <c r="B12" s="76">
        <v>1.8564373556142703E-2</v>
      </c>
      <c r="C12" s="76">
        <v>0.10258361875766417</v>
      </c>
      <c r="D12" s="76">
        <v>4.2144135763316277E-2</v>
      </c>
      <c r="E12" s="78">
        <v>7</v>
      </c>
    </row>
    <row r="13" spans="1:8" x14ac:dyDescent="0.25">
      <c r="A13" s="18" t="s">
        <v>28</v>
      </c>
      <c r="B13" s="77">
        <v>1.3087544065804936E-2</v>
      </c>
      <c r="C13" s="77">
        <v>5.3639732694339845E-2</v>
      </c>
      <c r="D13" s="77">
        <v>1.7860066379913379E-2</v>
      </c>
      <c r="E13" s="78">
        <v>8</v>
      </c>
    </row>
    <row r="14" spans="1:8" x14ac:dyDescent="0.25">
      <c r="A14" s="17" t="s">
        <v>29</v>
      </c>
      <c r="B14" s="76">
        <v>1.3804951375893488E-2</v>
      </c>
      <c r="C14" s="76">
        <v>5.2679876815877068E-2</v>
      </c>
      <c r="D14" s="76">
        <v>1.9877438019099761E-2</v>
      </c>
      <c r="E14" s="78">
        <v>9</v>
      </c>
    </row>
    <row r="15" spans="1:8" x14ac:dyDescent="0.25">
      <c r="A15" s="18" t="s">
        <v>30</v>
      </c>
      <c r="B15" s="77">
        <v>1.566154483820351E-2</v>
      </c>
      <c r="C15" s="77">
        <v>7.089148219441771E-2</v>
      </c>
      <c r="D15" s="77">
        <v>2.132459095283927E-2</v>
      </c>
      <c r="E15" s="78">
        <v>10</v>
      </c>
    </row>
    <row r="16" spans="1:8" x14ac:dyDescent="0.25">
      <c r="A16" s="17" t="s">
        <v>31</v>
      </c>
      <c r="B16" s="76">
        <v>2.0323937081451488E-2</v>
      </c>
      <c r="C16" s="76">
        <v>0.11795564740481679</v>
      </c>
      <c r="D16" s="76">
        <v>4.2619823543438518E-2</v>
      </c>
      <c r="E16" s="78">
        <v>11</v>
      </c>
    </row>
    <row r="17" spans="1:5" x14ac:dyDescent="0.25">
      <c r="A17" s="18" t="s">
        <v>32</v>
      </c>
      <c r="B17" s="77">
        <v>2.0371556694426651E-2</v>
      </c>
      <c r="C17" s="77">
        <v>0.12247507774580754</v>
      </c>
      <c r="D17" s="77">
        <v>4.3581248001860085E-2</v>
      </c>
      <c r="E17" s="78">
        <v>12</v>
      </c>
    </row>
    <row r="18" spans="1:5" x14ac:dyDescent="0.25">
      <c r="A18" s="1"/>
      <c r="B18" s="21"/>
      <c r="C18" s="21"/>
      <c r="D18" s="21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Plan181"/>
  <dimension ref="A1:H19"/>
  <sheetViews>
    <sheetView showGridLines="0" workbookViewId="0">
      <selection activeCell="A5" sqref="A5:D17"/>
    </sheetView>
  </sheetViews>
  <sheetFormatPr defaultRowHeight="15" x14ac:dyDescent="0.25"/>
  <cols>
    <col min="1" max="1" width="6.855468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315</v>
      </c>
      <c r="H1" s="78" t="s">
        <v>1312</v>
      </c>
    </row>
    <row r="3" spans="1:8" x14ac:dyDescent="0.25">
      <c r="A3" s="350" t="str">
        <f>"Tabela Referente à "&amp;G1</f>
        <v>Tabela Referente à Figura 5.8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mesmo mês do ano anterior – mercado doméstico,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61">
        <v>0.41646357106928522</v>
      </c>
      <c r="C6" s="61">
        <v>8.5881142861067877E-2</v>
      </c>
      <c r="D6" s="61">
        <v>0.11036926133344838</v>
      </c>
      <c r="E6" s="116">
        <v>1</v>
      </c>
    </row>
    <row r="7" spans="1:8" x14ac:dyDescent="0.25">
      <c r="A7" s="18" t="s">
        <v>22</v>
      </c>
      <c r="B7" s="62">
        <v>0.47954703818730177</v>
      </c>
      <c r="C7" s="62">
        <v>-0.30189120585026441</v>
      </c>
      <c r="D7" s="62">
        <v>-0.42630815409448852</v>
      </c>
      <c r="E7" s="116">
        <v>2</v>
      </c>
    </row>
    <row r="8" spans="1:8" x14ac:dyDescent="0.25">
      <c r="A8" s="17" t="s">
        <v>23</v>
      </c>
      <c r="B8" s="61">
        <v>0.14226490244006179</v>
      </c>
      <c r="C8" s="61">
        <v>0.35711606323319767</v>
      </c>
      <c r="D8" s="61">
        <v>0.47674480179910866</v>
      </c>
      <c r="E8" s="116">
        <v>3</v>
      </c>
    </row>
    <row r="9" spans="1:8" x14ac:dyDescent="0.25">
      <c r="A9" s="18" t="s">
        <v>24</v>
      </c>
      <c r="B9" s="62">
        <v>-0.90970023500254382</v>
      </c>
      <c r="C9" s="62">
        <v>-0.22536943018564282</v>
      </c>
      <c r="D9" s="62">
        <v>-0.23453517079781919</v>
      </c>
      <c r="E9" s="116">
        <v>4</v>
      </c>
    </row>
    <row r="10" spans="1:8" x14ac:dyDescent="0.25">
      <c r="A10" s="17" t="s">
        <v>25</v>
      </c>
      <c r="B10" s="61">
        <v>-0.71629042093234296</v>
      </c>
      <c r="C10" s="61">
        <v>0.11461001484684996</v>
      </c>
      <c r="D10" s="61">
        <v>-4.4077379635116876E-2</v>
      </c>
      <c r="E10" s="116">
        <v>5</v>
      </c>
    </row>
    <row r="11" spans="1:8" x14ac:dyDescent="0.25">
      <c r="A11" s="18" t="s">
        <v>26</v>
      </c>
      <c r="B11" s="62">
        <v>-0.84444974958550589</v>
      </c>
      <c r="C11" s="62">
        <v>0.42877523100491333</v>
      </c>
      <c r="D11" s="62">
        <v>0.35015185193266951</v>
      </c>
      <c r="E11" s="116">
        <v>6</v>
      </c>
    </row>
    <row r="12" spans="1:8" x14ac:dyDescent="0.25">
      <c r="A12" s="17" t="s">
        <v>27</v>
      </c>
      <c r="B12" s="61">
        <v>-0.81791103382521646</v>
      </c>
      <c r="C12" s="61">
        <v>0.60589202936443953</v>
      </c>
      <c r="D12" s="61">
        <v>0.93303561877489471</v>
      </c>
      <c r="E12" s="116">
        <v>7</v>
      </c>
    </row>
    <row r="13" spans="1:8" x14ac:dyDescent="0.25">
      <c r="A13" s="18" t="s">
        <v>28</v>
      </c>
      <c r="B13" s="62">
        <v>-0.88572938087544062</v>
      </c>
      <c r="C13" s="62">
        <v>-0.18188729297222631</v>
      </c>
      <c r="D13" s="62">
        <v>-0.20979187677068792</v>
      </c>
      <c r="E13" s="116">
        <v>8</v>
      </c>
    </row>
    <row r="14" spans="1:8" x14ac:dyDescent="0.25">
      <c r="A14" s="17" t="s">
        <v>29</v>
      </c>
      <c r="B14" s="61">
        <v>-0.85439764596925727</v>
      </c>
      <c r="C14" s="61">
        <v>-0.19008344819238007</v>
      </c>
      <c r="D14" s="61">
        <v>-7.2901625798828237E-2</v>
      </c>
      <c r="E14" s="116">
        <v>9</v>
      </c>
    </row>
    <row r="15" spans="1:8" x14ac:dyDescent="0.25">
      <c r="A15" s="18" t="s">
        <v>30</v>
      </c>
      <c r="B15" s="62">
        <v>-0.85394951710024047</v>
      </c>
      <c r="C15" s="62">
        <v>-0.15983786477572307</v>
      </c>
      <c r="D15" s="62">
        <v>-0.28278571494118604</v>
      </c>
      <c r="E15" s="116">
        <v>10</v>
      </c>
    </row>
    <row r="16" spans="1:8" x14ac:dyDescent="0.25">
      <c r="A16" s="17" t="s">
        <v>31</v>
      </c>
      <c r="B16" s="61">
        <v>-0.81447249607437255</v>
      </c>
      <c r="C16" s="61">
        <v>0.26477305857021238</v>
      </c>
      <c r="D16" s="61">
        <v>0.26255568317906941</v>
      </c>
      <c r="E16" s="116">
        <v>11</v>
      </c>
    </row>
    <row r="17" spans="1:5" x14ac:dyDescent="0.25">
      <c r="A17" s="18" t="s">
        <v>32</v>
      </c>
      <c r="B17" s="62">
        <v>-0.8313743440894269</v>
      </c>
      <c r="C17" s="62">
        <v>0.25894823262631306</v>
      </c>
      <c r="D17" s="62">
        <v>0.25804940552816064</v>
      </c>
      <c r="E17" s="116">
        <v>12</v>
      </c>
    </row>
    <row r="18" spans="1:5" x14ac:dyDescent="0.25">
      <c r="A18" s="1"/>
      <c r="B18" s="21"/>
      <c r="C18" s="21"/>
      <c r="D18" s="21"/>
    </row>
    <row r="19" spans="1:5" x14ac:dyDescent="0.25">
      <c r="B19" s="78" t="s">
        <v>239</v>
      </c>
      <c r="C19" s="78" t="s">
        <v>240</v>
      </c>
      <c r="D19" s="78" t="s">
        <v>241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Plan198"/>
  <dimension ref="A1:H18"/>
  <sheetViews>
    <sheetView showGridLines="0" workbookViewId="0">
      <selection activeCell="A5" sqref="A5:D15"/>
    </sheetView>
  </sheetViews>
  <sheetFormatPr defaultRowHeight="15" x14ac:dyDescent="0.25"/>
  <cols>
    <col min="1" max="1" width="9.7109375" customWidth="1"/>
    <col min="2" max="4" width="22.85546875" customWidth="1"/>
  </cols>
  <sheetData>
    <row r="1" spans="1:8" x14ac:dyDescent="0.25">
      <c r="C1" s="78"/>
      <c r="D1" s="78"/>
      <c r="E1" s="78"/>
      <c r="F1" s="78"/>
      <c r="G1" s="78" t="s">
        <v>316</v>
      </c>
      <c r="H1" s="78" t="s">
        <v>1313</v>
      </c>
    </row>
    <row r="3" spans="1:8" x14ac:dyDescent="0.25">
      <c r="A3" s="350" t="str">
        <f>"Tabela Referente à "&amp;G1</f>
        <v>Tabela Referente à Figura 5.9</v>
      </c>
      <c r="B3" s="350"/>
      <c r="C3" s="350"/>
      <c r="D3" s="350"/>
    </row>
    <row r="4" spans="1:8" ht="32.25" customHeight="1" x14ac:dyDescent="0.25">
      <c r="A4" s="351" t="str">
        <f>H1</f>
        <v>Evolução dos Percentuais de Atrasos e Cancelamentos – mercado internacional, por ano, 2009 a 2018</v>
      </c>
      <c r="B4" s="351"/>
      <c r="C4" s="351"/>
      <c r="D4" s="351"/>
    </row>
    <row r="5" spans="1:8" x14ac:dyDescent="0.25">
      <c r="A5" s="1" t="s">
        <v>20</v>
      </c>
      <c r="B5" s="21" t="s">
        <v>239</v>
      </c>
      <c r="C5" s="21" t="s">
        <v>240</v>
      </c>
      <c r="D5" s="21" t="s">
        <v>241</v>
      </c>
    </row>
    <row r="6" spans="1:8" x14ac:dyDescent="0.25">
      <c r="A6" s="17">
        <v>2009</v>
      </c>
      <c r="B6" s="76">
        <v>6.0723382577687217E-2</v>
      </c>
      <c r="C6" s="76">
        <v>0.11724879777271577</v>
      </c>
      <c r="D6" s="76">
        <v>6.3591495823842062E-2</v>
      </c>
    </row>
    <row r="7" spans="1:8" x14ac:dyDescent="0.25">
      <c r="A7" s="18">
        <v>2010</v>
      </c>
      <c r="B7" s="77">
        <v>6.3479042766323296E-2</v>
      </c>
      <c r="C7" s="77">
        <v>0.15835396769248911</v>
      </c>
      <c r="D7" s="77">
        <v>7.8284231980730035E-2</v>
      </c>
    </row>
    <row r="8" spans="1:8" x14ac:dyDescent="0.25">
      <c r="A8" s="17">
        <v>2011</v>
      </c>
      <c r="B8" s="76">
        <v>4.543032058815491E-2</v>
      </c>
      <c r="C8" s="76">
        <v>0.15655622123444066</v>
      </c>
      <c r="D8" s="76">
        <v>7.6889490147236714E-2</v>
      </c>
    </row>
    <row r="9" spans="1:8" x14ac:dyDescent="0.25">
      <c r="A9" s="18">
        <v>2012</v>
      </c>
      <c r="B9" s="77">
        <v>4.6509830194027157E-2</v>
      </c>
      <c r="C9" s="77">
        <v>0.12208815263214788</v>
      </c>
      <c r="D9" s="77">
        <v>5.5770997729975139E-2</v>
      </c>
    </row>
    <row r="10" spans="1:8" x14ac:dyDescent="0.25">
      <c r="A10" s="17">
        <v>2013</v>
      </c>
      <c r="B10" s="76">
        <v>4.19634178107866E-2</v>
      </c>
      <c r="C10" s="76">
        <v>0.10117113413000517</v>
      </c>
      <c r="D10" s="76">
        <v>4.5976630369908615E-2</v>
      </c>
    </row>
    <row r="11" spans="1:8" x14ac:dyDescent="0.25">
      <c r="A11" s="18">
        <v>2014</v>
      </c>
      <c r="B11" s="77">
        <v>4.0506947537827083E-2</v>
      </c>
      <c r="C11" s="77">
        <v>0.10173121274747657</v>
      </c>
      <c r="D11" s="77">
        <v>4.8327193218917541E-2</v>
      </c>
    </row>
    <row r="12" spans="1:8" x14ac:dyDescent="0.25">
      <c r="A12" s="17">
        <v>2015</v>
      </c>
      <c r="B12" s="76">
        <v>3.8942734343733146E-2</v>
      </c>
      <c r="C12" s="76">
        <v>7.7649629133397305E-2</v>
      </c>
      <c r="D12" s="76">
        <v>3.7491022553759058E-2</v>
      </c>
    </row>
    <row r="13" spans="1:8" x14ac:dyDescent="0.25">
      <c r="A13" s="18">
        <v>2016</v>
      </c>
      <c r="B13" s="77">
        <v>3.4751650734207155E-2</v>
      </c>
      <c r="C13" s="77">
        <v>7.9165337247144404E-2</v>
      </c>
      <c r="D13" s="77">
        <v>3.8957309680301193E-2</v>
      </c>
    </row>
    <row r="14" spans="1:8" x14ac:dyDescent="0.25">
      <c r="A14" s="17">
        <v>2017</v>
      </c>
      <c r="B14" s="76">
        <v>2.7085497243511343E-2</v>
      </c>
      <c r="C14" s="76">
        <v>7.9210360075805439E-2</v>
      </c>
      <c r="D14" s="76">
        <v>3.7365761212886921E-2</v>
      </c>
    </row>
    <row r="15" spans="1:8" x14ac:dyDescent="0.25">
      <c r="A15" s="18">
        <v>2018</v>
      </c>
      <c r="B15" s="77">
        <v>1.575808913001096E-2</v>
      </c>
      <c r="C15" s="77">
        <v>9.3022779276664053E-2</v>
      </c>
      <c r="D15" s="77">
        <v>4.3591407397288347E-2</v>
      </c>
    </row>
    <row r="16" spans="1:8" x14ac:dyDescent="0.25">
      <c r="A16" s="1"/>
      <c r="B16" s="1"/>
      <c r="C16" s="21"/>
      <c r="D16" s="21"/>
    </row>
    <row r="17" spans="2:4" x14ac:dyDescent="0.25">
      <c r="B17" s="31"/>
      <c r="C17" s="31"/>
      <c r="D17" s="31"/>
    </row>
    <row r="18" spans="2:4" x14ac:dyDescent="0.25">
      <c r="B18" s="31"/>
      <c r="C18" s="31"/>
      <c r="D18" s="31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Plan199"/>
  <dimension ref="A1:H17"/>
  <sheetViews>
    <sheetView showGridLines="0" workbookViewId="0">
      <selection activeCell="A5" sqref="A5:D14"/>
    </sheetView>
  </sheetViews>
  <sheetFormatPr defaultRowHeight="15" x14ac:dyDescent="0.25"/>
  <cols>
    <col min="1" max="1" width="18" customWidth="1"/>
    <col min="2" max="4" width="35.85546875" customWidth="1"/>
    <col min="5" max="5" width="11.42578125" customWidth="1"/>
  </cols>
  <sheetData>
    <row r="1" spans="1:8" x14ac:dyDescent="0.25">
      <c r="C1" s="78"/>
      <c r="D1" s="78"/>
      <c r="E1" s="78"/>
      <c r="F1" s="78"/>
      <c r="G1" s="78" t="s">
        <v>317</v>
      </c>
      <c r="H1" s="78" t="s">
        <v>1314</v>
      </c>
    </row>
    <row r="3" spans="1:8" x14ac:dyDescent="0.25">
      <c r="A3" s="350" t="str">
        <f>"Tabela Referente à "&amp;G1</f>
        <v>Tabela Referente à Figura 5.10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ano anterior – mercado internacional, 2009 a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>
        <v>2010</v>
      </c>
      <c r="B6" s="76">
        <v>4.5380544885005224E-2</v>
      </c>
      <c r="C6" s="76">
        <v>0.35058073686567609</v>
      </c>
      <c r="D6" s="76">
        <v>0.23104875843130102</v>
      </c>
    </row>
    <row r="7" spans="1:8" x14ac:dyDescent="0.25">
      <c r="A7" s="18">
        <v>2011</v>
      </c>
      <c r="B7" s="77">
        <v>-0.28432568280225451</v>
      </c>
      <c r="C7" s="77">
        <v>-1.1352708645352864E-2</v>
      </c>
      <c r="D7" s="77">
        <v>-1.7816382663582136E-2</v>
      </c>
    </row>
    <row r="8" spans="1:8" x14ac:dyDescent="0.25">
      <c r="A8" s="17">
        <v>2012</v>
      </c>
      <c r="B8" s="76">
        <v>2.3761875150705169E-2</v>
      </c>
      <c r="C8" s="76">
        <v>-0.22016415783744131</v>
      </c>
      <c r="D8" s="76">
        <v>-0.27466032583674949</v>
      </c>
    </row>
    <row r="9" spans="1:8" x14ac:dyDescent="0.25">
      <c r="A9" s="18">
        <v>2013</v>
      </c>
      <c r="B9" s="77">
        <v>-9.7751644421707917E-2</v>
      </c>
      <c r="C9" s="77">
        <v>-0.17132717672586772</v>
      </c>
      <c r="D9" s="77">
        <v>-0.17561757470231454</v>
      </c>
    </row>
    <row r="10" spans="1:8" x14ac:dyDescent="0.25">
      <c r="A10" s="17">
        <v>2014</v>
      </c>
      <c r="B10" s="76">
        <v>-3.4708094548607883E-2</v>
      </c>
      <c r="C10" s="76">
        <v>5.5359527427230031E-3</v>
      </c>
      <c r="D10" s="76">
        <v>5.112516576567893E-2</v>
      </c>
    </row>
    <row r="11" spans="1:8" x14ac:dyDescent="0.25">
      <c r="A11" s="18">
        <v>2015</v>
      </c>
      <c r="B11" s="77">
        <v>-3.861592366675394E-2</v>
      </c>
      <c r="C11" s="77">
        <v>-0.2367177483065698</v>
      </c>
      <c r="D11" s="77">
        <v>-0.22422511930439806</v>
      </c>
    </row>
    <row r="12" spans="1:8" x14ac:dyDescent="0.25">
      <c r="A12" s="17">
        <v>2016</v>
      </c>
      <c r="B12" s="76">
        <v>-0.10762170864872615</v>
      </c>
      <c r="C12" s="76">
        <v>1.9519837128174893E-2</v>
      </c>
      <c r="D12" s="76">
        <v>3.9110353003565024E-2</v>
      </c>
    </row>
    <row r="13" spans="1:8" x14ac:dyDescent="0.25">
      <c r="A13" s="18">
        <v>2017</v>
      </c>
      <c r="B13" s="77">
        <v>-0.22059825443485404</v>
      </c>
      <c r="C13" s="77">
        <v>5.6871896497426191E-4</v>
      </c>
      <c r="D13" s="77">
        <v>-4.0853654435461191E-2</v>
      </c>
    </row>
    <row r="14" spans="1:8" x14ac:dyDescent="0.25">
      <c r="A14" s="17">
        <v>2018</v>
      </c>
      <c r="B14" s="76">
        <v>-0.41820934693063461</v>
      </c>
      <c r="C14" s="76">
        <v>0.17437642232202874</v>
      </c>
      <c r="D14" s="76">
        <v>0.16661365866284797</v>
      </c>
    </row>
    <row r="15" spans="1:8" x14ac:dyDescent="0.25">
      <c r="A15" s="18">
        <v>2017</v>
      </c>
      <c r="B15" s="77">
        <v>-0.22705878245311878</v>
      </c>
      <c r="C15" s="77">
        <v>-1.7907737409004272E-4</v>
      </c>
      <c r="D15" s="77">
        <v>-4.1575287155175389E-2</v>
      </c>
    </row>
    <row r="16" spans="1:8" x14ac:dyDescent="0.25">
      <c r="A16" s="1"/>
      <c r="B16" s="1"/>
      <c r="C16" s="21"/>
      <c r="D16" s="21"/>
    </row>
    <row r="17" spans="2:4" x14ac:dyDescent="0.25">
      <c r="B17" s="78" t="s">
        <v>239</v>
      </c>
      <c r="C17" s="78" t="s">
        <v>240</v>
      </c>
      <c r="D17" s="78" t="s">
        <v>241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Plan200"/>
  <dimension ref="A1:H18"/>
  <sheetViews>
    <sheetView showGridLines="0" workbookViewId="0">
      <selection activeCell="A5" sqref="A5:D17"/>
    </sheetView>
  </sheetViews>
  <sheetFormatPr defaultRowHeight="15" x14ac:dyDescent="0.25"/>
  <cols>
    <col min="1" max="1" width="7.71093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318</v>
      </c>
      <c r="H1" s="78" t="s">
        <v>1307</v>
      </c>
    </row>
    <row r="3" spans="1:8" x14ac:dyDescent="0.25">
      <c r="A3" s="350" t="str">
        <f>"Tabela Referente à "&amp;G1</f>
        <v>Tabela Referente à Figura 5.11</v>
      </c>
      <c r="B3" s="350"/>
      <c r="C3" s="350"/>
      <c r="D3" s="350"/>
    </row>
    <row r="4" spans="1:8" x14ac:dyDescent="0.25">
      <c r="A4" s="351" t="str">
        <f>H1</f>
        <v>Evolução dos Percentuais de Atrasos e Cancelamentos – indústria, por mês,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76">
        <v>1.7156862745098041E-2</v>
      </c>
      <c r="C6" s="76">
        <v>9.0169313558209743E-2</v>
      </c>
      <c r="D6" s="76">
        <v>4.0097125607035045E-2</v>
      </c>
      <c r="E6" s="78">
        <v>1</v>
      </c>
    </row>
    <row r="7" spans="1:8" x14ac:dyDescent="0.25">
      <c r="A7" s="18" t="s">
        <v>22</v>
      </c>
      <c r="B7" s="77">
        <v>1.1278195488721804E-2</v>
      </c>
      <c r="C7" s="77">
        <v>6.2957004972214098E-2</v>
      </c>
      <c r="D7" s="77">
        <v>3.0272009359461831E-2</v>
      </c>
      <c r="E7" s="78">
        <v>2</v>
      </c>
    </row>
    <row r="8" spans="1:8" x14ac:dyDescent="0.25">
      <c r="A8" s="17" t="s">
        <v>23</v>
      </c>
      <c r="B8" s="76">
        <v>1.836019621583742E-2</v>
      </c>
      <c r="C8" s="76">
        <v>7.3529411764705885E-2</v>
      </c>
      <c r="D8" s="76">
        <v>3.4765848086807535E-2</v>
      </c>
      <c r="E8" s="78">
        <v>3</v>
      </c>
    </row>
    <row r="9" spans="1:8" x14ac:dyDescent="0.25">
      <c r="A9" s="18" t="s">
        <v>24</v>
      </c>
      <c r="B9" s="77">
        <v>2.817551963048499E-2</v>
      </c>
      <c r="C9" s="77">
        <v>8.4695817490494291E-2</v>
      </c>
      <c r="D9" s="77">
        <v>3.7452471482889736E-2</v>
      </c>
      <c r="E9" s="78">
        <v>4</v>
      </c>
    </row>
    <row r="10" spans="1:8" x14ac:dyDescent="0.25">
      <c r="A10" s="17" t="s">
        <v>25</v>
      </c>
      <c r="B10" s="76">
        <v>2.0745016686209074E-2</v>
      </c>
      <c r="C10" s="76">
        <v>8.5843234779404989E-2</v>
      </c>
      <c r="D10" s="76">
        <v>4.2368978539191304E-2</v>
      </c>
      <c r="E10" s="78">
        <v>5</v>
      </c>
    </row>
    <row r="11" spans="1:8" x14ac:dyDescent="0.25">
      <c r="A11" s="18" t="s">
        <v>26</v>
      </c>
      <c r="B11" s="77">
        <v>2.2118636322091215E-2</v>
      </c>
      <c r="C11" s="77">
        <v>9.6924946256659497E-2</v>
      </c>
      <c r="D11" s="77">
        <v>4.2901205720160762E-2</v>
      </c>
      <c r="E11" s="78">
        <v>6</v>
      </c>
    </row>
    <row r="12" spans="1:8" x14ac:dyDescent="0.25">
      <c r="A12" s="17" t="s">
        <v>27</v>
      </c>
      <c r="B12" s="76">
        <v>1.6669300047400852E-2</v>
      </c>
      <c r="C12" s="76">
        <v>0.12565276773519723</v>
      </c>
      <c r="D12" s="76">
        <v>5.7523901341688763E-2</v>
      </c>
      <c r="E12" s="78">
        <v>7</v>
      </c>
    </row>
    <row r="13" spans="1:8" x14ac:dyDescent="0.25">
      <c r="A13" s="18" t="s">
        <v>28</v>
      </c>
      <c r="B13" s="77">
        <v>1.2445095168374817E-2</v>
      </c>
      <c r="C13" s="77">
        <v>8.0141668725805124E-2</v>
      </c>
      <c r="D13" s="77">
        <v>3.5911374680833538E-2</v>
      </c>
      <c r="E13" s="78">
        <v>8</v>
      </c>
    </row>
    <row r="14" spans="1:8" x14ac:dyDescent="0.25">
      <c r="A14" s="17" t="s">
        <v>29</v>
      </c>
      <c r="B14" s="76">
        <v>1.3711463123828991E-2</v>
      </c>
      <c r="C14" s="76">
        <v>7.4259563077454446E-2</v>
      </c>
      <c r="D14" s="76">
        <v>3.2466971764096367E-2</v>
      </c>
      <c r="E14" s="78">
        <v>9</v>
      </c>
    </row>
    <row r="15" spans="1:8" x14ac:dyDescent="0.25">
      <c r="A15" s="18" t="s">
        <v>30</v>
      </c>
      <c r="B15" s="77">
        <v>6.0730476434864428E-3</v>
      </c>
      <c r="C15" s="77">
        <v>9.95697074010327E-2</v>
      </c>
      <c r="D15" s="77">
        <v>5.4388984509466436E-2</v>
      </c>
      <c r="E15" s="78">
        <v>10</v>
      </c>
    </row>
    <row r="16" spans="1:8" x14ac:dyDescent="0.25">
      <c r="A16" s="17" t="s">
        <v>31</v>
      </c>
      <c r="B16" s="76">
        <v>1.4387846291331547E-2</v>
      </c>
      <c r="C16" s="76">
        <v>0.12575936168283616</v>
      </c>
      <c r="D16" s="76">
        <v>6.1202284885302383E-2</v>
      </c>
      <c r="E16" s="78">
        <v>11</v>
      </c>
    </row>
    <row r="17" spans="1:5" x14ac:dyDescent="0.25">
      <c r="A17" s="18" t="s">
        <v>32</v>
      </c>
      <c r="B17" s="77">
        <v>9.9095556429414072E-3</v>
      </c>
      <c r="C17" s="77">
        <v>0.12336166494558742</v>
      </c>
      <c r="D17" s="77">
        <v>5.7351656207800458E-2</v>
      </c>
      <c r="E17" s="78">
        <v>12</v>
      </c>
    </row>
    <row r="18" spans="1:5" x14ac:dyDescent="0.25">
      <c r="A18" s="1"/>
      <c r="B18" s="21"/>
      <c r="C18" s="21"/>
      <c r="D18" s="21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Plan201"/>
  <dimension ref="A1:H19"/>
  <sheetViews>
    <sheetView showGridLines="0" workbookViewId="0">
      <selection activeCell="A5" sqref="A5:D17"/>
    </sheetView>
  </sheetViews>
  <sheetFormatPr defaultRowHeight="15" x14ac:dyDescent="0.25"/>
  <cols>
    <col min="1" max="1" width="6.85546875" customWidth="1"/>
    <col min="2" max="2" width="35.7109375" bestFit="1" customWidth="1"/>
    <col min="3" max="4" width="36.42578125" bestFit="1" customWidth="1"/>
  </cols>
  <sheetData>
    <row r="1" spans="1:8" x14ac:dyDescent="0.25">
      <c r="C1" s="78"/>
      <c r="D1" s="78"/>
      <c r="E1" s="78"/>
      <c r="F1" s="78"/>
      <c r="G1" s="78" t="s">
        <v>319</v>
      </c>
      <c r="H1" s="78" t="s">
        <v>1308</v>
      </c>
    </row>
    <row r="3" spans="1:8" x14ac:dyDescent="0.25">
      <c r="A3" s="350" t="str">
        <f>"Tabela Referente à "&amp;G1</f>
        <v>Tabela Referente à Figura 5.12</v>
      </c>
      <c r="B3" s="350"/>
      <c r="C3" s="350"/>
      <c r="D3" s="350"/>
    </row>
    <row r="4" spans="1:8" x14ac:dyDescent="0.25">
      <c r="A4" s="351" t="str">
        <f>H1</f>
        <v>Variação dos Percentuais de Atrasos e Cancelamentos com relação ao mesmo mês do ano anterior, – indústria, 2018</v>
      </c>
      <c r="B4" s="351"/>
      <c r="C4" s="351"/>
      <c r="D4" s="351"/>
    </row>
    <row r="5" spans="1:8" x14ac:dyDescent="0.25">
      <c r="A5" s="1" t="s">
        <v>20</v>
      </c>
      <c r="B5" s="21" t="s">
        <v>242</v>
      </c>
      <c r="C5" s="21" t="s">
        <v>243</v>
      </c>
      <c r="D5" s="21" t="s">
        <v>244</v>
      </c>
    </row>
    <row r="6" spans="1:8" x14ac:dyDescent="0.25">
      <c r="A6" s="17" t="s">
        <v>21</v>
      </c>
      <c r="B6" s="61">
        <v>-0.38980088159294723</v>
      </c>
      <c r="C6" s="61">
        <v>8.4707650600873777E-2</v>
      </c>
      <c r="D6" s="61">
        <v>3.7484041093438614E-2</v>
      </c>
      <c r="E6" s="116">
        <v>1</v>
      </c>
    </row>
    <row r="7" spans="1:8" x14ac:dyDescent="0.25">
      <c r="A7" s="18" t="s">
        <v>22</v>
      </c>
      <c r="B7" s="62">
        <v>-0.67597770169129923</v>
      </c>
      <c r="C7" s="62">
        <v>3.516008989591643E-2</v>
      </c>
      <c r="D7" s="62">
        <v>3.6260478581803597E-2</v>
      </c>
      <c r="E7" s="116">
        <v>2</v>
      </c>
    </row>
    <row r="8" spans="1:8" x14ac:dyDescent="0.25">
      <c r="A8" s="17" t="s">
        <v>23</v>
      </c>
      <c r="B8" s="61">
        <v>-0.57987551011995553</v>
      </c>
      <c r="C8" s="61">
        <v>8.543417366946772E-2</v>
      </c>
      <c r="D8" s="61">
        <v>9.8668306044257525E-2</v>
      </c>
      <c r="E8" s="116">
        <v>3</v>
      </c>
    </row>
    <row r="9" spans="1:8" x14ac:dyDescent="0.25">
      <c r="A9" s="18" t="s">
        <v>24</v>
      </c>
      <c r="B9" s="62">
        <v>-2.1471818238561771E-2</v>
      </c>
      <c r="C9" s="62">
        <v>0.57292232482346528</v>
      </c>
      <c r="D9" s="62">
        <v>0.53752251350810498</v>
      </c>
      <c r="E9" s="116">
        <v>4</v>
      </c>
    </row>
    <row r="10" spans="1:8" x14ac:dyDescent="0.25">
      <c r="A10" s="17" t="s">
        <v>25</v>
      </c>
      <c r="B10" s="61">
        <v>-8.283353939420408E-3</v>
      </c>
      <c r="C10" s="61">
        <v>0.37572007282445702</v>
      </c>
      <c r="D10" s="61">
        <v>0.50496933359072682</v>
      </c>
      <c r="E10" s="116">
        <v>5</v>
      </c>
    </row>
    <row r="11" spans="1:8" x14ac:dyDescent="0.25">
      <c r="A11" s="18" t="s">
        <v>26</v>
      </c>
      <c r="B11" s="62">
        <v>1.7849445219069802E-2</v>
      </c>
      <c r="C11" s="62">
        <v>0.6275954930268417</v>
      </c>
      <c r="D11" s="62">
        <v>0.43702059793520021</v>
      </c>
      <c r="E11" s="116">
        <v>6</v>
      </c>
    </row>
    <row r="12" spans="1:8" x14ac:dyDescent="0.25">
      <c r="A12" s="17" t="s">
        <v>27</v>
      </c>
      <c r="B12" s="61">
        <v>-0.29903584951276119</v>
      </c>
      <c r="C12" s="61">
        <v>0.38778085207698793</v>
      </c>
      <c r="D12" s="61">
        <v>0.33332185609842874</v>
      </c>
      <c r="E12" s="116">
        <v>7</v>
      </c>
    </row>
    <row r="13" spans="1:8" x14ac:dyDescent="0.25">
      <c r="A13" s="18" t="s">
        <v>28</v>
      </c>
      <c r="B13" s="62">
        <v>-0.45390296232860944</v>
      </c>
      <c r="C13" s="62">
        <v>1.751563756525008E-2</v>
      </c>
      <c r="D13" s="62">
        <v>8.3379436167801108E-2</v>
      </c>
      <c r="E13" s="116">
        <v>8</v>
      </c>
    </row>
    <row r="14" spans="1:8" x14ac:dyDescent="0.25">
      <c r="A14" s="17" t="s">
        <v>29</v>
      </c>
      <c r="B14" s="61">
        <v>-0.54566425269736096</v>
      </c>
      <c r="C14" s="61">
        <v>-4.5453675397489526E-2</v>
      </c>
      <c r="D14" s="61">
        <v>-0.12660498844089624</v>
      </c>
      <c r="E14" s="116">
        <v>9</v>
      </c>
    </row>
    <row r="15" spans="1:8" x14ac:dyDescent="0.25">
      <c r="A15" s="18" t="s">
        <v>30</v>
      </c>
      <c r="B15" s="62">
        <v>-0.76755117366776682</v>
      </c>
      <c r="C15" s="62">
        <v>-0.18544273830509461</v>
      </c>
      <c r="D15" s="62">
        <v>-0.13925456210808154</v>
      </c>
      <c r="E15" s="116">
        <v>10</v>
      </c>
    </row>
    <row r="16" spans="1:8" x14ac:dyDescent="0.25">
      <c r="A16" s="17" t="s">
        <v>31</v>
      </c>
      <c r="B16" s="61">
        <v>-0.28002795536307601</v>
      </c>
      <c r="C16" s="61">
        <v>0.47173630612745671</v>
      </c>
      <c r="D16" s="61">
        <v>0.56968618782457536</v>
      </c>
      <c r="E16" s="116">
        <v>11</v>
      </c>
    </row>
    <row r="17" spans="1:5" x14ac:dyDescent="0.25">
      <c r="A17" s="18" t="s">
        <v>32</v>
      </c>
      <c r="B17" s="62">
        <v>-0.60089062136698379</v>
      </c>
      <c r="C17" s="62">
        <v>0.22630002656944631</v>
      </c>
      <c r="D17" s="62">
        <v>0.21212136741823426</v>
      </c>
      <c r="E17" s="116">
        <v>12</v>
      </c>
    </row>
    <row r="18" spans="1:5" x14ac:dyDescent="0.25">
      <c r="A18" s="1"/>
      <c r="B18" s="21"/>
      <c r="C18" s="21"/>
      <c r="D18" s="21"/>
    </row>
    <row r="19" spans="1:5" x14ac:dyDescent="0.25">
      <c r="B19" s="78" t="s">
        <v>239</v>
      </c>
      <c r="C19" s="78" t="s">
        <v>240</v>
      </c>
      <c r="D19" s="78" t="s">
        <v>241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Plan133"/>
  <dimension ref="A1:H26"/>
  <sheetViews>
    <sheetView showGridLines="0" workbookViewId="0">
      <selection activeCell="A5" sqref="A5:C26"/>
    </sheetView>
  </sheetViews>
  <sheetFormatPr defaultRowHeight="15" x14ac:dyDescent="0.25"/>
  <cols>
    <col min="1" max="1" width="51.85546875" bestFit="1" customWidth="1"/>
    <col min="2" max="3" width="29.42578125" bestFit="1" customWidth="1"/>
  </cols>
  <sheetData>
    <row r="1" spans="1:8" x14ac:dyDescent="0.25">
      <c r="C1" s="78"/>
      <c r="D1" s="78"/>
      <c r="E1" s="78"/>
      <c r="F1" s="78"/>
      <c r="G1" s="78" t="s">
        <v>735</v>
      </c>
      <c r="H1" s="78" t="s">
        <v>1315</v>
      </c>
    </row>
    <row r="3" spans="1:8" x14ac:dyDescent="0.25">
      <c r="A3" s="350" t="str">
        <f>"Tabela Referente à "&amp;G1</f>
        <v>Tabela Referente à Figura 5.13</v>
      </c>
      <c r="B3" s="350"/>
      <c r="C3" s="350"/>
    </row>
    <row r="4" spans="1:8" x14ac:dyDescent="0.25">
      <c r="A4" s="351" t="str">
        <f>H1</f>
        <v>Percentuais de Atrasos nas 20 principais rotas domésticas, 2018</v>
      </c>
      <c r="B4" s="351"/>
      <c r="C4" s="351"/>
    </row>
    <row r="5" spans="1:8" x14ac:dyDescent="0.25">
      <c r="A5" s="1" t="s">
        <v>20</v>
      </c>
      <c r="B5" s="21" t="s">
        <v>240</v>
      </c>
      <c r="C5" s="21" t="s">
        <v>241</v>
      </c>
    </row>
    <row r="6" spans="1:8" x14ac:dyDescent="0.25">
      <c r="A6" s="17" t="s">
        <v>573</v>
      </c>
      <c r="B6" s="76">
        <v>7.5100255195041932E-2</v>
      </c>
      <c r="C6" s="76">
        <v>2.4972657674079475E-2</v>
      </c>
    </row>
    <row r="7" spans="1:8" x14ac:dyDescent="0.25">
      <c r="A7" s="18" t="s">
        <v>576</v>
      </c>
      <c r="B7" s="77">
        <v>8.9855072463768115E-2</v>
      </c>
      <c r="C7" s="77">
        <v>2.7954911433172303E-2</v>
      </c>
    </row>
    <row r="8" spans="1:8" x14ac:dyDescent="0.25">
      <c r="A8" s="17" t="s">
        <v>577</v>
      </c>
      <c r="B8" s="76">
        <v>6.5350744002429392E-2</v>
      </c>
      <c r="C8" s="76">
        <v>1.8584877011843304E-2</v>
      </c>
    </row>
    <row r="9" spans="1:8" x14ac:dyDescent="0.25">
      <c r="A9" s="18" t="s">
        <v>574</v>
      </c>
      <c r="B9" s="77">
        <v>9.748119070984626E-2</v>
      </c>
      <c r="C9" s="77">
        <v>3.2957147530258427E-2</v>
      </c>
    </row>
    <row r="10" spans="1:8" x14ac:dyDescent="0.25">
      <c r="A10" s="17" t="s">
        <v>575</v>
      </c>
      <c r="B10" s="76">
        <v>9.3349455864570732E-2</v>
      </c>
      <c r="C10" s="76">
        <v>3.5066505441354291E-2</v>
      </c>
    </row>
    <row r="11" spans="1:8" x14ac:dyDescent="0.25">
      <c r="A11" s="18" t="s">
        <v>579</v>
      </c>
      <c r="B11" s="77">
        <v>7.7350859453993934E-2</v>
      </c>
      <c r="C11" s="77">
        <v>2.1811353459482884E-2</v>
      </c>
    </row>
    <row r="12" spans="1:8" x14ac:dyDescent="0.25">
      <c r="A12" s="17" t="s">
        <v>580</v>
      </c>
      <c r="B12" s="76">
        <v>6.9120407615982843E-2</v>
      </c>
      <c r="C12" s="76">
        <v>2.0850093858943416E-2</v>
      </c>
    </row>
    <row r="13" spans="1:8" x14ac:dyDescent="0.25">
      <c r="A13" s="18" t="s">
        <v>578</v>
      </c>
      <c r="B13" s="77">
        <v>0.10321651464234277</v>
      </c>
      <c r="C13" s="77">
        <v>3.4373499759961595E-2</v>
      </c>
    </row>
    <row r="14" spans="1:8" x14ac:dyDescent="0.25">
      <c r="A14" s="17" t="s">
        <v>581</v>
      </c>
      <c r="B14" s="76">
        <v>0.10331023864511163</v>
      </c>
      <c r="C14" s="76">
        <v>3.5719784449576596E-2</v>
      </c>
    </row>
    <row r="15" spans="1:8" x14ac:dyDescent="0.25">
      <c r="A15" s="18" t="s">
        <v>582</v>
      </c>
      <c r="B15" s="77">
        <v>9.2954363490792641E-2</v>
      </c>
      <c r="C15" s="77">
        <v>3.3787029623698957E-2</v>
      </c>
    </row>
    <row r="16" spans="1:8" x14ac:dyDescent="0.25">
      <c r="A16" s="17" t="s">
        <v>583</v>
      </c>
      <c r="B16" s="76">
        <v>6.5182703047710233E-2</v>
      </c>
      <c r="C16" s="76">
        <v>2.4493378011807884E-2</v>
      </c>
    </row>
    <row r="17" spans="1:3" x14ac:dyDescent="0.25">
      <c r="A17" s="18" t="s">
        <v>588</v>
      </c>
      <c r="B17" s="77">
        <v>7.9121711148968391E-2</v>
      </c>
      <c r="C17" s="77">
        <v>2.8014385765663449E-2</v>
      </c>
    </row>
    <row r="18" spans="1:3" x14ac:dyDescent="0.25">
      <c r="A18" s="17" t="s">
        <v>585</v>
      </c>
      <c r="B18" s="76">
        <v>8.8202189706333783E-2</v>
      </c>
      <c r="C18" s="76">
        <v>3.3664176813670316E-2</v>
      </c>
    </row>
    <row r="19" spans="1:3" x14ac:dyDescent="0.25">
      <c r="A19" s="18" t="s">
        <v>584</v>
      </c>
      <c r="B19" s="77">
        <v>0.10072678882178319</v>
      </c>
      <c r="C19" s="77">
        <v>3.2654314668850444E-2</v>
      </c>
    </row>
    <row r="20" spans="1:3" x14ac:dyDescent="0.25">
      <c r="A20" s="17" t="s">
        <v>587</v>
      </c>
      <c r="B20" s="76">
        <v>5.9100067159167227E-2</v>
      </c>
      <c r="C20" s="76">
        <v>1.8324858486040489E-2</v>
      </c>
    </row>
    <row r="21" spans="1:3" x14ac:dyDescent="0.25">
      <c r="A21" s="18" t="s">
        <v>833</v>
      </c>
      <c r="B21" s="77">
        <v>6.0526721084244568E-2</v>
      </c>
      <c r="C21" s="77">
        <v>1.7557369474819035E-2</v>
      </c>
    </row>
    <row r="22" spans="1:3" x14ac:dyDescent="0.25">
      <c r="A22" s="17" t="s">
        <v>834</v>
      </c>
      <c r="B22" s="76">
        <v>0.10453092686595225</v>
      </c>
      <c r="C22" s="76">
        <v>3.553299492385787E-2</v>
      </c>
    </row>
    <row r="23" spans="1:3" x14ac:dyDescent="0.25">
      <c r="A23" s="18" t="s">
        <v>586</v>
      </c>
      <c r="B23" s="77">
        <v>7.0652173913043473E-2</v>
      </c>
      <c r="C23" s="77">
        <v>2.2826086956521739E-2</v>
      </c>
    </row>
    <row r="24" spans="1:3" x14ac:dyDescent="0.25">
      <c r="A24" s="17" t="s">
        <v>835</v>
      </c>
      <c r="B24" s="76">
        <v>6.700548348268022E-2</v>
      </c>
      <c r="C24" s="76">
        <v>2.2468904640898756E-2</v>
      </c>
    </row>
    <row r="25" spans="1:3" x14ac:dyDescent="0.25">
      <c r="A25" s="18" t="s">
        <v>836</v>
      </c>
      <c r="B25" s="77">
        <v>8.2246591582691167E-2</v>
      </c>
      <c r="C25" s="77">
        <v>3.0379371665678719E-2</v>
      </c>
    </row>
    <row r="26" spans="1:3" x14ac:dyDescent="0.25">
      <c r="A26" s="1" t="s">
        <v>848</v>
      </c>
      <c r="B26" s="1">
        <v>8.1328295883873539E-2</v>
      </c>
      <c r="C26" s="21">
        <v>2.8236229866772718E-2</v>
      </c>
    </row>
  </sheetData>
  <sortState xmlns:xlrd2="http://schemas.microsoft.com/office/spreadsheetml/2017/richdata2" ref="A6:C25">
    <sortCondition descending="1" ref="B6:B25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Plan134"/>
  <dimension ref="A1:H26"/>
  <sheetViews>
    <sheetView showGridLines="0" workbookViewId="0">
      <selection activeCell="A5" sqref="A5:B26"/>
    </sheetView>
  </sheetViews>
  <sheetFormatPr defaultRowHeight="15" x14ac:dyDescent="0.25"/>
  <cols>
    <col min="1" max="1" width="51.85546875" bestFit="1" customWidth="1"/>
    <col min="2" max="2" width="28.7109375" bestFit="1" customWidth="1"/>
    <col min="3" max="3" width="29.140625" customWidth="1"/>
  </cols>
  <sheetData>
    <row r="1" spans="1:8" x14ac:dyDescent="0.25">
      <c r="C1" s="78"/>
      <c r="D1" s="78"/>
      <c r="E1" s="78"/>
      <c r="F1" s="78"/>
      <c r="G1" s="78" t="s">
        <v>736</v>
      </c>
      <c r="H1" s="78" t="s">
        <v>1316</v>
      </c>
    </row>
    <row r="3" spans="1:8" x14ac:dyDescent="0.25">
      <c r="A3" s="350" t="str">
        <f>"Tabela Referente à "&amp;G1</f>
        <v>Tabela Referente à Figura 5.14</v>
      </c>
      <c r="B3" s="350"/>
    </row>
    <row r="4" spans="1:8" x14ac:dyDescent="0.25">
      <c r="A4" s="351" t="str">
        <f>H1</f>
        <v>Percentuais de Cancelamentos nas 20 principais rotas domésticas, 2018</v>
      </c>
      <c r="B4" s="351"/>
    </row>
    <row r="5" spans="1:8" x14ac:dyDescent="0.25">
      <c r="A5" s="1" t="s">
        <v>20</v>
      </c>
      <c r="B5" s="21" t="s">
        <v>239</v>
      </c>
    </row>
    <row r="6" spans="1:8" x14ac:dyDescent="0.25">
      <c r="A6" s="17" t="s">
        <v>573</v>
      </c>
      <c r="B6" s="76">
        <v>4.0765349452964977E-2</v>
      </c>
    </row>
    <row r="7" spans="1:8" x14ac:dyDescent="0.25">
      <c r="A7" s="18" t="s">
        <v>576</v>
      </c>
      <c r="B7" s="77">
        <v>2.4566473988439308E-2</v>
      </c>
    </row>
    <row r="8" spans="1:8" x14ac:dyDescent="0.25">
      <c r="A8" s="17" t="s">
        <v>577</v>
      </c>
      <c r="B8" s="76">
        <v>1.407185628742515E-2</v>
      </c>
    </row>
    <row r="9" spans="1:8" x14ac:dyDescent="0.25">
      <c r="A9" s="18" t="s">
        <v>574</v>
      </c>
      <c r="B9" s="77">
        <v>1.9799599198396793E-2</v>
      </c>
    </row>
    <row r="10" spans="1:8" x14ac:dyDescent="0.25">
      <c r="A10" s="17" t="s">
        <v>575</v>
      </c>
      <c r="B10" s="76">
        <v>1.2733784321528054E-2</v>
      </c>
    </row>
    <row r="11" spans="1:8" x14ac:dyDescent="0.25">
      <c r="A11" s="18" t="s">
        <v>579</v>
      </c>
      <c r="B11" s="77">
        <v>1.3396038192959954E-2</v>
      </c>
    </row>
    <row r="12" spans="1:8" x14ac:dyDescent="0.25">
      <c r="A12" s="17" t="s">
        <v>580</v>
      </c>
      <c r="B12" s="76">
        <v>1.8684210526315789E-2</v>
      </c>
    </row>
    <row r="13" spans="1:8" x14ac:dyDescent="0.25">
      <c r="A13" s="18" t="s">
        <v>578</v>
      </c>
      <c r="B13" s="77">
        <v>1.3170361948076558E-2</v>
      </c>
    </row>
    <row r="14" spans="1:8" x14ac:dyDescent="0.25">
      <c r="A14" s="17" t="s">
        <v>581</v>
      </c>
      <c r="B14" s="76">
        <v>3.8347645839502516E-2</v>
      </c>
    </row>
    <row r="15" spans="1:8" x14ac:dyDescent="0.25">
      <c r="A15" s="18" t="s">
        <v>582</v>
      </c>
      <c r="B15" s="77">
        <v>3.2457975056162366E-2</v>
      </c>
    </row>
    <row r="16" spans="1:8" x14ac:dyDescent="0.25">
      <c r="A16" s="17" t="s">
        <v>583</v>
      </c>
      <c r="B16" s="76">
        <v>2.4211755546905411E-2</v>
      </c>
    </row>
    <row r="17" spans="1:2" x14ac:dyDescent="0.25">
      <c r="A17" s="18" t="s">
        <v>588</v>
      </c>
      <c r="B17" s="77">
        <v>1.7481867212200113E-2</v>
      </c>
    </row>
    <row r="18" spans="1:2" x14ac:dyDescent="0.25">
      <c r="A18" s="17" t="s">
        <v>585</v>
      </c>
      <c r="B18" s="76">
        <v>1.3525789845563742E-2</v>
      </c>
    </row>
    <row r="19" spans="1:2" x14ac:dyDescent="0.25">
      <c r="A19" s="18" t="s">
        <v>584</v>
      </c>
      <c r="B19" s="77">
        <v>2.1044192804890269E-2</v>
      </c>
    </row>
    <row r="20" spans="1:2" x14ac:dyDescent="0.25">
      <c r="A20" s="17" t="s">
        <v>587</v>
      </c>
      <c r="B20" s="76">
        <v>2.8701891715590344E-2</v>
      </c>
    </row>
    <row r="21" spans="1:2" x14ac:dyDescent="0.25">
      <c r="A21" s="18" t="s">
        <v>833</v>
      </c>
      <c r="B21" s="77">
        <v>1.977657004830918E-2</v>
      </c>
    </row>
    <row r="22" spans="1:2" x14ac:dyDescent="0.25">
      <c r="A22" s="17" t="s">
        <v>834</v>
      </c>
      <c r="B22" s="76">
        <v>1.0050251256281407E-2</v>
      </c>
    </row>
    <row r="23" spans="1:2" x14ac:dyDescent="0.25">
      <c r="A23" s="18" t="s">
        <v>586</v>
      </c>
      <c r="B23" s="77">
        <v>6.4794816414686825E-3</v>
      </c>
    </row>
    <row r="24" spans="1:2" x14ac:dyDescent="0.25">
      <c r="A24" s="17" t="s">
        <v>835</v>
      </c>
      <c r="B24" s="76">
        <v>2.5924960917144347E-2</v>
      </c>
    </row>
    <row r="25" spans="1:2" x14ac:dyDescent="0.25">
      <c r="A25" s="18" t="s">
        <v>836</v>
      </c>
      <c r="B25" s="77">
        <v>1.7758369723435224E-2</v>
      </c>
    </row>
    <row r="26" spans="1:2" x14ac:dyDescent="0.25">
      <c r="A26" s="1" t="s">
        <v>848</v>
      </c>
      <c r="B26" s="21">
        <v>1.4114879435404822E-2</v>
      </c>
    </row>
  </sheetData>
  <sortState xmlns:xlrd2="http://schemas.microsoft.com/office/spreadsheetml/2017/richdata2" ref="A6:B25">
    <sortCondition descending="1" ref="B6:B25"/>
  </sortState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7"/>
  <dimension ref="A1:H17"/>
  <sheetViews>
    <sheetView showGridLines="0" workbookViewId="0">
      <selection activeCell="C4" sqref="C4"/>
    </sheetView>
  </sheetViews>
  <sheetFormatPr defaultColWidth="18.5703125" defaultRowHeight="15" x14ac:dyDescent="0.25"/>
  <cols>
    <col min="2" max="2" width="42.28515625" customWidth="1"/>
  </cols>
  <sheetData>
    <row r="1" spans="1:8" x14ac:dyDescent="0.25">
      <c r="C1" s="78"/>
      <c r="D1" s="78"/>
      <c r="E1" s="78"/>
      <c r="F1" s="78"/>
      <c r="G1" s="78" t="s">
        <v>249</v>
      </c>
      <c r="H1" s="78" t="s">
        <v>1426</v>
      </c>
    </row>
    <row r="3" spans="1:8" x14ac:dyDescent="0.25">
      <c r="A3" s="350" t="str">
        <f>"Tabela Referente à "&amp;G1</f>
        <v>Tabela Referente à Figura 2.4</v>
      </c>
      <c r="B3" s="350"/>
    </row>
    <row r="4" spans="1:8" ht="32.25" customHeight="1" x14ac:dyDescent="0.25">
      <c r="A4" s="351" t="str">
        <f>H1</f>
        <v>Evolução da quantidade de voos – mercado doméstico, 2009 a 2018</v>
      </c>
      <c r="B4" s="351"/>
    </row>
    <row r="5" spans="1:8" x14ac:dyDescent="0.25">
      <c r="A5" s="1" t="s">
        <v>20</v>
      </c>
      <c r="B5" s="21" t="s">
        <v>568</v>
      </c>
      <c r="C5" s="78"/>
    </row>
    <row r="6" spans="1:8" x14ac:dyDescent="0.25">
      <c r="A6" s="109">
        <v>2009</v>
      </c>
      <c r="B6" s="23">
        <v>733624</v>
      </c>
      <c r="C6" s="114"/>
    </row>
    <row r="7" spans="1:8" x14ac:dyDescent="0.25">
      <c r="A7" s="110">
        <v>2010</v>
      </c>
      <c r="B7" s="24">
        <v>844718</v>
      </c>
      <c r="C7" s="114">
        <f t="shared" ref="C7:C14" si="0">B7/B6-1</f>
        <v>0.15143179612444513</v>
      </c>
    </row>
    <row r="8" spans="1:8" x14ac:dyDescent="0.25">
      <c r="A8" s="109">
        <v>2011</v>
      </c>
      <c r="B8" s="23">
        <v>958083</v>
      </c>
      <c r="C8" s="114">
        <f t="shared" si="0"/>
        <v>0.13420455110462903</v>
      </c>
    </row>
    <row r="9" spans="1:8" x14ac:dyDescent="0.25">
      <c r="A9" s="110">
        <v>2012</v>
      </c>
      <c r="B9" s="24">
        <v>990839</v>
      </c>
      <c r="C9" s="114">
        <f t="shared" si="0"/>
        <v>3.4189104701784601E-2</v>
      </c>
    </row>
    <row r="10" spans="1:8" x14ac:dyDescent="0.25">
      <c r="A10" s="109">
        <v>2013</v>
      </c>
      <c r="B10" s="23">
        <v>946681</v>
      </c>
      <c r="C10" s="114">
        <f t="shared" si="0"/>
        <v>-4.4566271614258191E-2</v>
      </c>
    </row>
    <row r="11" spans="1:8" x14ac:dyDescent="0.25">
      <c r="A11" s="110">
        <v>2014</v>
      </c>
      <c r="B11" s="24">
        <v>941853</v>
      </c>
      <c r="C11" s="114">
        <f t="shared" si="0"/>
        <v>-5.0999227828593119E-3</v>
      </c>
    </row>
    <row r="12" spans="1:8" x14ac:dyDescent="0.25">
      <c r="A12" s="109">
        <v>2015</v>
      </c>
      <c r="B12" s="23">
        <v>935675</v>
      </c>
      <c r="C12" s="114">
        <f t="shared" si="0"/>
        <v>-6.5594100140892175E-3</v>
      </c>
    </row>
    <row r="13" spans="1:8" x14ac:dyDescent="0.25">
      <c r="A13" s="110">
        <v>2016</v>
      </c>
      <c r="B13" s="24">
        <v>828893</v>
      </c>
      <c r="C13" s="114">
        <f t="shared" si="0"/>
        <v>-0.11412295936088923</v>
      </c>
    </row>
    <row r="14" spans="1:8" x14ac:dyDescent="0.25">
      <c r="A14" s="109">
        <v>2017</v>
      </c>
      <c r="B14" s="23">
        <v>805472</v>
      </c>
      <c r="C14" s="114">
        <f t="shared" si="0"/>
        <v>-2.8255757980825025E-2</v>
      </c>
    </row>
    <row r="15" spans="1:8" x14ac:dyDescent="0.25">
      <c r="A15" s="18">
        <v>2018</v>
      </c>
      <c r="B15" s="24">
        <v>815862</v>
      </c>
      <c r="C15" s="114">
        <f>B15/B14-1</f>
        <v>1.2899269000039792E-2</v>
      </c>
    </row>
    <row r="16" spans="1:8" x14ac:dyDescent="0.25">
      <c r="A16" s="16"/>
      <c r="B16" s="9"/>
    </row>
    <row r="17" spans="2:3" x14ac:dyDescent="0.25">
      <c r="B17" s="114">
        <f>B15/B6-1</f>
        <v>0.11209829558465922</v>
      </c>
      <c r="C17" s="78" t="str">
        <f>IF(B17&gt;0,"+","")&amp;ROUND(B17*100,1)&amp;"%"</f>
        <v>+11,2%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Plan135"/>
  <dimension ref="A1:H26"/>
  <sheetViews>
    <sheetView showGridLines="0" workbookViewId="0">
      <selection activeCell="A5" sqref="A5:C26"/>
    </sheetView>
  </sheetViews>
  <sheetFormatPr defaultRowHeight="15" x14ac:dyDescent="0.25"/>
  <cols>
    <col min="1" max="1" width="51.85546875" bestFit="1" customWidth="1"/>
    <col min="2" max="3" width="29.42578125" bestFit="1" customWidth="1"/>
    <col min="6" max="6" width="70.28515625" bestFit="1" customWidth="1"/>
  </cols>
  <sheetData>
    <row r="1" spans="1:8" x14ac:dyDescent="0.25">
      <c r="C1" s="78"/>
      <c r="D1" s="78"/>
      <c r="E1" s="78"/>
      <c r="F1" s="78"/>
      <c r="G1" s="78" t="s">
        <v>737</v>
      </c>
      <c r="H1" s="78" t="s">
        <v>1317</v>
      </c>
    </row>
    <row r="3" spans="1:8" x14ac:dyDescent="0.25">
      <c r="A3" s="350" t="str">
        <f>"Tabela Referente à "&amp;G1</f>
        <v>Tabela Referente à Figura 5.15</v>
      </c>
      <c r="B3" s="350"/>
      <c r="C3" s="350"/>
    </row>
    <row r="4" spans="1:8" x14ac:dyDescent="0.25">
      <c r="A4" s="351" t="str">
        <f>H1</f>
        <v>Percentuais de Atrasos nas 20 principais rotas internacionais, 2018</v>
      </c>
      <c r="B4" s="351"/>
      <c r="C4" s="351"/>
    </row>
    <row r="5" spans="1:8" x14ac:dyDescent="0.25">
      <c r="A5" s="1" t="s">
        <v>20</v>
      </c>
      <c r="B5" s="21" t="s">
        <v>240</v>
      </c>
      <c r="C5" s="21" t="s">
        <v>241</v>
      </c>
    </row>
    <row r="6" spans="1:8" x14ac:dyDescent="0.25">
      <c r="A6" s="17" t="s">
        <v>849</v>
      </c>
      <c r="B6" s="76">
        <v>0.11452871956192473</v>
      </c>
      <c r="C6" s="76">
        <v>4.8467901666084119E-2</v>
      </c>
    </row>
    <row r="7" spans="1:8" x14ac:dyDescent="0.25">
      <c r="A7" s="18" t="s">
        <v>850</v>
      </c>
      <c r="B7" s="77">
        <v>0.12279831307367899</v>
      </c>
      <c r="C7" s="77">
        <v>6.1771272637062766E-2</v>
      </c>
    </row>
    <row r="8" spans="1:8" x14ac:dyDescent="0.25">
      <c r="A8" s="17" t="s">
        <v>851</v>
      </c>
      <c r="B8" s="76">
        <v>9.7868054389793527E-2</v>
      </c>
      <c r="C8" s="76">
        <v>3.7602820211515862E-2</v>
      </c>
    </row>
    <row r="9" spans="1:8" x14ac:dyDescent="0.25">
      <c r="A9" s="18" t="s">
        <v>852</v>
      </c>
      <c r="B9" s="77">
        <v>0.11160347940259314</v>
      </c>
      <c r="C9" s="77">
        <v>3.9389463318562287E-2</v>
      </c>
    </row>
    <row r="10" spans="1:8" x14ac:dyDescent="0.25">
      <c r="A10" s="17" t="s">
        <v>853</v>
      </c>
      <c r="B10" s="76">
        <v>0.14504088162104514</v>
      </c>
      <c r="C10" s="76">
        <v>7.2520440810522571E-2</v>
      </c>
    </row>
    <row r="11" spans="1:8" x14ac:dyDescent="0.25">
      <c r="A11" s="18" t="s">
        <v>854</v>
      </c>
      <c r="B11" s="77">
        <v>8.9558573853989812E-2</v>
      </c>
      <c r="C11" s="77">
        <v>4.7113752122241087E-2</v>
      </c>
    </row>
    <row r="12" spans="1:8" x14ac:dyDescent="0.25">
      <c r="A12" s="17" t="s">
        <v>855</v>
      </c>
      <c r="B12" s="76">
        <v>8.2188930503537247E-2</v>
      </c>
      <c r="C12" s="76">
        <v>4.0574282147315857E-2</v>
      </c>
    </row>
    <row r="13" spans="1:8" x14ac:dyDescent="0.25">
      <c r="A13" s="18" t="s">
        <v>856</v>
      </c>
      <c r="B13" s="77">
        <v>0.11847195357833655</v>
      </c>
      <c r="C13" s="77">
        <v>5.0773694390715669E-2</v>
      </c>
    </row>
    <row r="14" spans="1:8" x14ac:dyDescent="0.25">
      <c r="A14" s="17" t="s">
        <v>857</v>
      </c>
      <c r="B14" s="76">
        <v>1.9116186693147963E-2</v>
      </c>
      <c r="C14" s="76">
        <v>1.0675273088381331E-2</v>
      </c>
    </row>
    <row r="15" spans="1:8" x14ac:dyDescent="0.25">
      <c r="A15" s="18" t="s">
        <v>705</v>
      </c>
      <c r="B15" s="77">
        <v>0.10803149606299213</v>
      </c>
      <c r="C15" s="77">
        <v>3.3070866141732283E-2</v>
      </c>
    </row>
    <row r="16" spans="1:8" x14ac:dyDescent="0.25">
      <c r="A16" s="17" t="s">
        <v>858</v>
      </c>
      <c r="B16" s="76">
        <v>0.13848817080207732</v>
      </c>
      <c r="C16" s="76">
        <v>5.6260819388343909E-2</v>
      </c>
    </row>
    <row r="17" spans="1:3" x14ac:dyDescent="0.25">
      <c r="A17" s="18" t="s">
        <v>859</v>
      </c>
      <c r="B17" s="77">
        <v>9.8893499308437063E-2</v>
      </c>
      <c r="C17" s="77">
        <v>3.5269709543568464E-2</v>
      </c>
    </row>
    <row r="18" spans="1:3" x14ac:dyDescent="0.25">
      <c r="A18" s="17" t="s">
        <v>860</v>
      </c>
      <c r="B18" s="76">
        <v>8.8480801335559259E-2</v>
      </c>
      <c r="C18" s="76">
        <v>4.6744574290484141E-2</v>
      </c>
    </row>
    <row r="19" spans="1:3" x14ac:dyDescent="0.25">
      <c r="A19" s="18" t="s">
        <v>861</v>
      </c>
      <c r="B19" s="77">
        <v>9.4072164948453607E-2</v>
      </c>
      <c r="C19" s="77">
        <v>4.3814432989690719E-2</v>
      </c>
    </row>
    <row r="20" spans="1:3" x14ac:dyDescent="0.25">
      <c r="A20" s="17" t="s">
        <v>862</v>
      </c>
      <c r="B20" s="76">
        <v>9.4527363184079602E-2</v>
      </c>
      <c r="C20" s="76">
        <v>4.5881702598120508E-2</v>
      </c>
    </row>
    <row r="21" spans="1:3" x14ac:dyDescent="0.25">
      <c r="A21" s="18" t="s">
        <v>863</v>
      </c>
      <c r="B21" s="77">
        <v>9.4226000708466165E-2</v>
      </c>
      <c r="C21" s="77">
        <v>4.0028338646829614E-2</v>
      </c>
    </row>
    <row r="22" spans="1:3" x14ac:dyDescent="0.25">
      <c r="A22" s="17" t="s">
        <v>864</v>
      </c>
      <c r="B22" s="76">
        <v>0.15879828326180256</v>
      </c>
      <c r="C22" s="76">
        <v>7.9705702023298589E-2</v>
      </c>
    </row>
    <row r="23" spans="1:3" x14ac:dyDescent="0.25">
      <c r="A23" s="18" t="s">
        <v>865</v>
      </c>
      <c r="B23" s="77">
        <v>0.11751982696467195</v>
      </c>
      <c r="C23" s="77">
        <v>6.344628695025234E-2</v>
      </c>
    </row>
    <row r="24" spans="1:3" x14ac:dyDescent="0.25">
      <c r="A24" s="17" t="s">
        <v>866</v>
      </c>
      <c r="B24" s="76">
        <v>7.9234972677595633E-2</v>
      </c>
      <c r="C24" s="76">
        <v>3.1147540983606559E-2</v>
      </c>
    </row>
    <row r="25" spans="1:3" x14ac:dyDescent="0.25">
      <c r="A25" s="18" t="s">
        <v>867</v>
      </c>
      <c r="B25" s="77">
        <v>7.1558963125228192E-2</v>
      </c>
      <c r="C25" s="77">
        <v>3.1033223804308143E-2</v>
      </c>
    </row>
    <row r="26" spans="1:3" x14ac:dyDescent="0.25">
      <c r="A26" s="1" t="s">
        <v>878</v>
      </c>
      <c r="B26" s="16">
        <v>9.6664397549353298E-2</v>
      </c>
      <c r="C26" s="170">
        <v>5.6501021102791017E-2</v>
      </c>
    </row>
  </sheetData>
  <sortState xmlns:xlrd2="http://schemas.microsoft.com/office/spreadsheetml/2017/richdata2" ref="A6:C25">
    <sortCondition descending="1" ref="B6:B25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Plan160"/>
  <dimension ref="A1:H26"/>
  <sheetViews>
    <sheetView showGridLines="0" topLeftCell="A4" workbookViewId="0">
      <selection activeCell="A5" sqref="A5:B26"/>
    </sheetView>
  </sheetViews>
  <sheetFormatPr defaultRowHeight="15" x14ac:dyDescent="0.25"/>
  <cols>
    <col min="1" max="1" width="51.85546875" bestFit="1" customWidth="1"/>
    <col min="2" max="2" width="28.7109375" bestFit="1" customWidth="1"/>
  </cols>
  <sheetData>
    <row r="1" spans="1:8" x14ac:dyDescent="0.25">
      <c r="C1" s="78"/>
      <c r="D1" s="78"/>
      <c r="E1" s="78"/>
      <c r="F1" s="78"/>
      <c r="G1" s="78" t="s">
        <v>738</v>
      </c>
      <c r="H1" s="78" t="s">
        <v>1318</v>
      </c>
    </row>
    <row r="3" spans="1:8" x14ac:dyDescent="0.25">
      <c r="A3" s="350" t="str">
        <f>"Tabela Referente à "&amp;G1</f>
        <v>Tabela Referente à Figura 5.16</v>
      </c>
      <c r="B3" s="350"/>
    </row>
    <row r="4" spans="1:8" x14ac:dyDescent="0.25">
      <c r="A4" s="351" t="str">
        <f>H1</f>
        <v>Percentuais de Cancelamentos nas 20 principais rotas internacionais, 2018</v>
      </c>
      <c r="B4" s="351"/>
    </row>
    <row r="5" spans="1:8" x14ac:dyDescent="0.25">
      <c r="A5" s="1" t="s">
        <v>20</v>
      </c>
      <c r="B5" s="21" t="s">
        <v>239</v>
      </c>
    </row>
    <row r="6" spans="1:8" x14ac:dyDescent="0.25">
      <c r="A6" s="17" t="s">
        <v>849</v>
      </c>
      <c r="B6" s="76">
        <v>1.6725856340932523E-2</v>
      </c>
    </row>
    <row r="7" spans="1:8" x14ac:dyDescent="0.25">
      <c r="A7" s="18" t="s">
        <v>850</v>
      </c>
      <c r="B7" s="77">
        <v>5.9186189889025896E-3</v>
      </c>
    </row>
    <row r="8" spans="1:8" x14ac:dyDescent="0.25">
      <c r="A8" s="17" t="s">
        <v>851</v>
      </c>
      <c r="B8" s="76">
        <v>1.9423868312757202E-2</v>
      </c>
    </row>
    <row r="9" spans="1:8" x14ac:dyDescent="0.25">
      <c r="A9" s="18" t="s">
        <v>852</v>
      </c>
      <c r="B9" s="77">
        <v>1.2799740764744005E-2</v>
      </c>
    </row>
    <row r="10" spans="1:8" x14ac:dyDescent="0.25">
      <c r="A10" s="17" t="s">
        <v>853</v>
      </c>
      <c r="B10" s="76">
        <v>3.565306822077477E-2</v>
      </c>
    </row>
    <row r="11" spans="1:8" x14ac:dyDescent="0.25">
      <c r="A11" s="18" t="s">
        <v>854</v>
      </c>
      <c r="B11" s="77">
        <v>8.0000000000000002E-3</v>
      </c>
    </row>
    <row r="12" spans="1:8" x14ac:dyDescent="0.25">
      <c r="A12" s="17" t="s">
        <v>855</v>
      </c>
      <c r="B12" s="76">
        <v>3.3775633293124246E-2</v>
      </c>
    </row>
    <row r="13" spans="1:8" x14ac:dyDescent="0.25">
      <c r="A13" s="18" t="s">
        <v>856</v>
      </c>
      <c r="B13" s="77">
        <v>2.4988213107024988E-2</v>
      </c>
    </row>
    <row r="14" spans="1:8" x14ac:dyDescent="0.25">
      <c r="A14" s="17" t="s">
        <v>857</v>
      </c>
      <c r="B14" s="76">
        <v>1.2397718819737169E-3</v>
      </c>
    </row>
    <row r="15" spans="1:8" x14ac:dyDescent="0.25">
      <c r="A15" s="18" t="s">
        <v>705</v>
      </c>
      <c r="B15" s="77">
        <v>4.7404740474047406E-2</v>
      </c>
    </row>
    <row r="16" spans="1:8" x14ac:dyDescent="0.25">
      <c r="A16" s="17" t="s">
        <v>858</v>
      </c>
      <c r="B16" s="76">
        <v>6.0223687983940351E-3</v>
      </c>
    </row>
    <row r="17" spans="1:2" x14ac:dyDescent="0.25">
      <c r="A17" s="18" t="s">
        <v>859</v>
      </c>
      <c r="B17" s="77">
        <v>2.7586206896551722E-3</v>
      </c>
    </row>
    <row r="18" spans="1:2" x14ac:dyDescent="0.25">
      <c r="A18" s="17" t="s">
        <v>860</v>
      </c>
      <c r="B18" s="76">
        <v>2.7202598457166056E-2</v>
      </c>
    </row>
    <row r="19" spans="1:2" x14ac:dyDescent="0.25">
      <c r="A19" s="18" t="s">
        <v>861</v>
      </c>
      <c r="B19" s="77">
        <v>6.4020486555697821E-3</v>
      </c>
    </row>
    <row r="20" spans="1:2" x14ac:dyDescent="0.25">
      <c r="A20" s="17" t="s">
        <v>862</v>
      </c>
      <c r="B20" s="76">
        <v>1.6847826086956522E-2</v>
      </c>
    </row>
    <row r="21" spans="1:2" x14ac:dyDescent="0.25">
      <c r="A21" s="18" t="s">
        <v>863</v>
      </c>
      <c r="B21" s="77">
        <v>5.9859154929577463E-3</v>
      </c>
    </row>
    <row r="22" spans="1:2" x14ac:dyDescent="0.25">
      <c r="A22" s="17" t="s">
        <v>864</v>
      </c>
      <c r="B22" s="76">
        <v>2.4464831804281344E-3</v>
      </c>
    </row>
    <row r="23" spans="1:2" x14ac:dyDescent="0.25">
      <c r="A23" s="18" t="s">
        <v>865</v>
      </c>
      <c r="B23" s="77">
        <v>4.3072505384063172E-3</v>
      </c>
    </row>
    <row r="24" spans="1:2" x14ac:dyDescent="0.25">
      <c r="A24" s="17" t="s">
        <v>866</v>
      </c>
      <c r="B24" s="76">
        <v>4.3525571273122961E-3</v>
      </c>
    </row>
    <row r="25" spans="1:2" x14ac:dyDescent="0.25">
      <c r="A25" s="18" t="s">
        <v>867</v>
      </c>
      <c r="B25" s="77">
        <v>1.0119262739428984E-2</v>
      </c>
    </row>
    <row r="26" spans="1:2" x14ac:dyDescent="0.25">
      <c r="A26" s="1" t="s">
        <v>878</v>
      </c>
      <c r="B26" s="21">
        <v>4.7425474254742545E-3</v>
      </c>
    </row>
  </sheetData>
  <sortState xmlns:xlrd2="http://schemas.microsoft.com/office/spreadsheetml/2017/richdata2" ref="A6:B25">
    <sortCondition descending="1" ref="B6:B25"/>
  </sortState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Plan136"/>
  <dimension ref="A1:H17"/>
  <sheetViews>
    <sheetView showGridLines="0" workbookViewId="0"/>
  </sheetViews>
  <sheetFormatPr defaultRowHeight="15" x14ac:dyDescent="0.25"/>
  <cols>
    <col min="1" max="1" width="19.140625" customWidth="1"/>
    <col min="2" max="2" width="52.140625" bestFit="1" customWidth="1"/>
    <col min="3" max="3" width="16.28515625" customWidth="1"/>
    <col min="4" max="4" width="10.5703125" bestFit="1" customWidth="1"/>
  </cols>
  <sheetData>
    <row r="1" spans="1:8" x14ac:dyDescent="0.25">
      <c r="C1" s="78"/>
      <c r="D1" s="78"/>
      <c r="E1" s="78"/>
      <c r="F1" s="78"/>
      <c r="G1" s="78" t="s">
        <v>320</v>
      </c>
      <c r="H1" s="78" t="s">
        <v>1319</v>
      </c>
    </row>
    <row r="3" spans="1:8" x14ac:dyDescent="0.25">
      <c r="A3" s="350" t="str">
        <f>"Tabela Referente à "&amp;G1</f>
        <v>Tabela Referente à Figura 6.1</v>
      </c>
      <c r="B3" s="350"/>
      <c r="C3" s="350"/>
    </row>
    <row r="4" spans="1:8" ht="16.5" customHeight="1" x14ac:dyDescent="0.25">
      <c r="A4" s="351" t="str">
        <f>H1</f>
        <v>Evolução da Tarifa Aérea Média Doméstica Real, 2009 a 2018</v>
      </c>
      <c r="B4" s="351"/>
      <c r="C4" s="351"/>
    </row>
    <row r="5" spans="1:8" x14ac:dyDescent="0.25">
      <c r="A5" s="1" t="s">
        <v>20</v>
      </c>
      <c r="B5" s="21" t="s">
        <v>659</v>
      </c>
      <c r="C5" s="21" t="s">
        <v>543</v>
      </c>
    </row>
    <row r="6" spans="1:8" x14ac:dyDescent="0.25">
      <c r="A6" s="174">
        <v>2009</v>
      </c>
      <c r="B6" s="208">
        <v>513.39726883673973</v>
      </c>
      <c r="C6" s="208"/>
    </row>
    <row r="7" spans="1:8" x14ac:dyDescent="0.25">
      <c r="A7" s="173">
        <v>2010</v>
      </c>
      <c r="B7" s="207">
        <v>399.72727016819903</v>
      </c>
      <c r="C7" s="207"/>
    </row>
    <row r="8" spans="1:8" x14ac:dyDescent="0.25">
      <c r="A8" s="174">
        <v>2011</v>
      </c>
      <c r="B8" s="208">
        <v>359.59163002210579</v>
      </c>
      <c r="C8" s="208">
        <v>413.97780272266152</v>
      </c>
    </row>
    <row r="9" spans="1:8" x14ac:dyDescent="0.25">
      <c r="A9" s="173">
        <v>2012</v>
      </c>
      <c r="B9" s="207">
        <v>357.72743027687568</v>
      </c>
      <c r="C9" s="207">
        <v>417.43828590781737</v>
      </c>
    </row>
    <row r="10" spans="1:8" x14ac:dyDescent="0.25">
      <c r="A10" s="174">
        <v>2013</v>
      </c>
      <c r="B10" s="208">
        <v>380.72352101857217</v>
      </c>
      <c r="C10" s="208">
        <v>436.76919994895695</v>
      </c>
    </row>
    <row r="11" spans="1:8" x14ac:dyDescent="0.25">
      <c r="A11" s="173">
        <v>2014</v>
      </c>
      <c r="B11" s="207">
        <v>356.0474072146589</v>
      </c>
      <c r="C11" s="207">
        <v>417.21443321519831</v>
      </c>
    </row>
    <row r="12" spans="1:8" x14ac:dyDescent="0.25">
      <c r="A12" s="174">
        <v>2015</v>
      </c>
      <c r="B12" s="208">
        <v>312.80472060634338</v>
      </c>
      <c r="C12" s="208">
        <v>379.72465464750127</v>
      </c>
    </row>
    <row r="13" spans="1:8" x14ac:dyDescent="0.25">
      <c r="A13" s="173">
        <v>2016</v>
      </c>
      <c r="B13" s="207">
        <v>289.12413288952973</v>
      </c>
      <c r="C13" s="207">
        <v>372.69459358321649</v>
      </c>
    </row>
    <row r="14" spans="1:8" x14ac:dyDescent="0.25">
      <c r="A14" s="174">
        <v>2017</v>
      </c>
      <c r="B14" s="208">
        <v>290.3938055391838</v>
      </c>
      <c r="C14" s="208">
        <v>370.53570289933833</v>
      </c>
    </row>
    <row r="15" spans="1:8" x14ac:dyDescent="0.25">
      <c r="A15" s="173">
        <v>2018</v>
      </c>
      <c r="B15" s="207">
        <v>288.85671166551805</v>
      </c>
      <c r="C15" s="207">
        <v>374.11794363221435</v>
      </c>
    </row>
    <row r="16" spans="1:8" x14ac:dyDescent="0.25">
      <c r="A16" s="1"/>
      <c r="B16" s="21"/>
      <c r="C16" s="21"/>
      <c r="D16" s="114">
        <f>B15/B6-1</f>
        <v>-0.43736219649159358</v>
      </c>
    </row>
    <row r="17" spans="2:2" x14ac:dyDescent="0.25">
      <c r="B17" s="114">
        <f>B15/B6-1</f>
        <v>-0.43736219649159358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Plan165"/>
  <dimension ref="A1:H16"/>
  <sheetViews>
    <sheetView showGridLines="0" workbookViewId="0">
      <selection activeCell="A5" sqref="A5:C15"/>
    </sheetView>
  </sheetViews>
  <sheetFormatPr defaultRowHeight="15" x14ac:dyDescent="0.25"/>
  <cols>
    <col min="1" max="1" width="12" customWidth="1"/>
    <col min="2" max="2" width="51" customWidth="1"/>
    <col min="3" max="3" width="13.85546875" bestFit="1" customWidth="1"/>
  </cols>
  <sheetData>
    <row r="1" spans="1:8" x14ac:dyDescent="0.25">
      <c r="C1" s="78"/>
      <c r="D1" s="78"/>
      <c r="E1" s="78"/>
      <c r="F1" s="78"/>
      <c r="G1" s="78" t="s">
        <v>321</v>
      </c>
      <c r="H1" s="78" t="s">
        <v>1320</v>
      </c>
    </row>
    <row r="3" spans="1:8" x14ac:dyDescent="0.25">
      <c r="A3" s="350" t="str">
        <f>"Tabela Referente à "&amp;G1</f>
        <v>Tabela Referente à Figura 6.2</v>
      </c>
      <c r="B3" s="350"/>
      <c r="C3" s="350"/>
    </row>
    <row r="4" spans="1:8" ht="33" customHeight="1" x14ac:dyDescent="0.25">
      <c r="A4" s="351" t="str">
        <f>H1</f>
        <v>Variação da Tarifa Aérea Média Doméstica Real com relação ao ano anterior, 2009 a 2018</v>
      </c>
      <c r="B4" s="351"/>
      <c r="C4" s="351"/>
    </row>
    <row r="5" spans="1:8" x14ac:dyDescent="0.25">
      <c r="A5" s="1" t="s">
        <v>20</v>
      </c>
      <c r="B5" s="21" t="s">
        <v>659</v>
      </c>
      <c r="C5" s="21" t="s">
        <v>543</v>
      </c>
    </row>
    <row r="6" spans="1:8" x14ac:dyDescent="0.25">
      <c r="A6" s="18">
        <v>2009</v>
      </c>
      <c r="B6" s="77">
        <v>-0.28639606288496872</v>
      </c>
      <c r="C6" s="77"/>
    </row>
    <row r="7" spans="1:8" x14ac:dyDescent="0.25">
      <c r="A7" s="17">
        <v>2010</v>
      </c>
      <c r="B7" s="76">
        <v>-0.22140748610933444</v>
      </c>
      <c r="C7" s="76"/>
    </row>
    <row r="8" spans="1:8" x14ac:dyDescent="0.25">
      <c r="A8" s="18">
        <v>2011</v>
      </c>
      <c r="B8" s="77">
        <v>-0.10040756070809176</v>
      </c>
      <c r="C8" s="77">
        <v>-6.7735977505567729E-2</v>
      </c>
    </row>
    <row r="9" spans="1:8" x14ac:dyDescent="0.25">
      <c r="A9" s="17">
        <v>2012</v>
      </c>
      <c r="B9" s="76">
        <v>-5.1842133953882872E-3</v>
      </c>
      <c r="C9" s="76">
        <v>8.3591032234019372E-3</v>
      </c>
    </row>
    <row r="10" spans="1:8" x14ac:dyDescent="0.25">
      <c r="A10" s="18">
        <v>2013</v>
      </c>
      <c r="B10" s="77">
        <v>6.4283833990303352E-2</v>
      </c>
      <c r="C10" s="77">
        <v>4.6308435746615757E-2</v>
      </c>
    </row>
    <row r="11" spans="1:8" x14ac:dyDescent="0.25">
      <c r="A11" s="17">
        <v>2014</v>
      </c>
      <c r="B11" s="76">
        <v>-6.4813736062053109E-2</v>
      </c>
      <c r="C11" s="76">
        <v>-4.477139582196709E-2</v>
      </c>
    </row>
    <row r="12" spans="1:8" x14ac:dyDescent="0.25">
      <c r="A12" s="18">
        <v>2015</v>
      </c>
      <c r="B12" s="77">
        <v>-0.12145204748603818</v>
      </c>
      <c r="C12" s="77">
        <v>-8.9857338536416115E-2</v>
      </c>
    </row>
    <row r="13" spans="1:8" x14ac:dyDescent="0.25">
      <c r="A13" s="17">
        <v>2016</v>
      </c>
      <c r="B13" s="76">
        <v>-7.5704061214009147E-2</v>
      </c>
      <c r="C13" s="76">
        <v>-1.851357550330987E-2</v>
      </c>
    </row>
    <row r="14" spans="1:8" x14ac:dyDescent="0.25">
      <c r="A14" s="18">
        <v>2017</v>
      </c>
      <c r="B14" s="77">
        <v>4.3914447298634635E-3</v>
      </c>
      <c r="C14" s="77">
        <v>-5.7926536124976308E-3</v>
      </c>
    </row>
    <row r="15" spans="1:8" x14ac:dyDescent="0.25">
      <c r="A15" s="17">
        <v>2018</v>
      </c>
      <c r="B15" s="76">
        <v>-5.2931358877018071E-3</v>
      </c>
      <c r="C15" s="76">
        <v>9.6677343231596404E-3</v>
      </c>
    </row>
    <row r="16" spans="1:8" x14ac:dyDescent="0.25">
      <c r="A16" s="1"/>
      <c r="B16" s="21"/>
      <c r="C16" s="21"/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Plan184"/>
  <dimension ref="A1:I68"/>
  <sheetViews>
    <sheetView showGridLines="0" workbookViewId="0">
      <selection activeCell="A5" sqref="A5:C41"/>
    </sheetView>
  </sheetViews>
  <sheetFormatPr defaultRowHeight="15" x14ac:dyDescent="0.25"/>
  <cols>
    <col min="1" max="1" width="14.85546875" customWidth="1"/>
    <col min="2" max="2" width="8.140625" bestFit="1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322</v>
      </c>
      <c r="H1" s="78" t="s">
        <v>1321</v>
      </c>
    </row>
    <row r="3" spans="1:8" x14ac:dyDescent="0.25">
      <c r="A3" s="350" t="str">
        <f>"Tabela Referente à "&amp;G1</f>
        <v>Tabela Referente à Figura 6.3</v>
      </c>
      <c r="B3" s="350"/>
      <c r="C3" s="350"/>
    </row>
    <row r="4" spans="1:8" ht="32.25" customHeight="1" x14ac:dyDescent="0.25">
      <c r="A4" s="352" t="str">
        <f>H1</f>
        <v>Tarifa Aérea Média Doméstica Real mensal, 2016 a 2018</v>
      </c>
      <c r="B4" s="352"/>
      <c r="C4" s="352"/>
    </row>
    <row r="5" spans="1:8" x14ac:dyDescent="0.25">
      <c r="A5" s="1" t="s">
        <v>20</v>
      </c>
      <c r="B5" s="21" t="s">
        <v>33</v>
      </c>
      <c r="C5" s="21" t="s">
        <v>665</v>
      </c>
    </row>
    <row r="6" spans="1:8" x14ac:dyDescent="0.25">
      <c r="A6" s="286">
        <v>2016</v>
      </c>
      <c r="B6" s="301">
        <v>1</v>
      </c>
      <c r="C6" s="218">
        <v>365.19878389162278</v>
      </c>
    </row>
    <row r="7" spans="1:8" x14ac:dyDescent="0.25">
      <c r="A7" s="286" t="s">
        <v>369</v>
      </c>
      <c r="B7" s="302">
        <v>2</v>
      </c>
      <c r="C7" s="219">
        <v>365.38140189561477</v>
      </c>
    </row>
    <row r="8" spans="1:8" x14ac:dyDescent="0.25">
      <c r="A8" s="286" t="s">
        <v>369</v>
      </c>
      <c r="B8" s="301">
        <v>3</v>
      </c>
      <c r="C8" s="218">
        <v>353.46821093729761</v>
      </c>
    </row>
    <row r="9" spans="1:8" x14ac:dyDescent="0.25">
      <c r="A9" s="286" t="s">
        <v>369</v>
      </c>
      <c r="B9" s="302">
        <v>4</v>
      </c>
      <c r="C9" s="219">
        <v>336.80616834194859</v>
      </c>
    </row>
    <row r="10" spans="1:8" x14ac:dyDescent="0.25">
      <c r="A10" s="286" t="s">
        <v>369</v>
      </c>
      <c r="B10" s="301">
        <v>5</v>
      </c>
      <c r="C10" s="218">
        <v>330.10308554394857</v>
      </c>
    </row>
    <row r="11" spans="1:8" x14ac:dyDescent="0.25">
      <c r="A11" s="286" t="s">
        <v>369</v>
      </c>
      <c r="B11" s="302">
        <v>6</v>
      </c>
      <c r="C11" s="219">
        <v>349.94053323401022</v>
      </c>
    </row>
    <row r="12" spans="1:8" x14ac:dyDescent="0.25">
      <c r="A12" s="286" t="s">
        <v>369</v>
      </c>
      <c r="B12" s="301">
        <v>7</v>
      </c>
      <c r="C12" s="218">
        <v>367.8457159899724</v>
      </c>
    </row>
    <row r="13" spans="1:8" x14ac:dyDescent="0.25">
      <c r="A13" s="286" t="s">
        <v>369</v>
      </c>
      <c r="B13" s="302">
        <v>8</v>
      </c>
      <c r="C13" s="219">
        <v>368.71953846905285</v>
      </c>
    </row>
    <row r="14" spans="1:8" x14ac:dyDescent="0.25">
      <c r="A14" s="286" t="s">
        <v>369</v>
      </c>
      <c r="B14" s="301">
        <v>9</v>
      </c>
      <c r="C14" s="218">
        <v>415.68745652468021</v>
      </c>
    </row>
    <row r="15" spans="1:8" x14ac:dyDescent="0.25">
      <c r="A15" s="286" t="s">
        <v>369</v>
      </c>
      <c r="B15" s="302">
        <v>10</v>
      </c>
      <c r="C15" s="219">
        <v>428.251139401187</v>
      </c>
    </row>
    <row r="16" spans="1:8" x14ac:dyDescent="0.25">
      <c r="A16" s="286" t="s">
        <v>369</v>
      </c>
      <c r="B16" s="301">
        <v>11</v>
      </c>
      <c r="C16" s="218">
        <v>421.61369284119513</v>
      </c>
    </row>
    <row r="17" spans="1:9" x14ac:dyDescent="0.25">
      <c r="A17" s="287" t="s">
        <v>369</v>
      </c>
      <c r="B17" s="302">
        <v>12</v>
      </c>
      <c r="C17" s="219">
        <v>388.54648566859481</v>
      </c>
    </row>
    <row r="18" spans="1:9" x14ac:dyDescent="0.25">
      <c r="A18" s="288">
        <v>2017</v>
      </c>
      <c r="B18" s="303">
        <v>1</v>
      </c>
      <c r="C18" s="220">
        <v>363.88822006061241</v>
      </c>
    </row>
    <row r="19" spans="1:9" x14ac:dyDescent="0.25">
      <c r="A19" s="289" t="s">
        <v>369</v>
      </c>
      <c r="B19" s="304">
        <v>2</v>
      </c>
      <c r="C19" s="221">
        <v>341.12340326194237</v>
      </c>
    </row>
    <row r="20" spans="1:9" x14ac:dyDescent="0.25">
      <c r="A20" s="289" t="s">
        <v>369</v>
      </c>
      <c r="B20" s="305">
        <v>3</v>
      </c>
      <c r="C20" s="222">
        <v>329.60729883662691</v>
      </c>
    </row>
    <row r="21" spans="1:9" x14ac:dyDescent="0.25">
      <c r="A21" s="289" t="s">
        <v>369</v>
      </c>
      <c r="B21" s="304">
        <v>4</v>
      </c>
      <c r="C21" s="221">
        <v>341.75659453980643</v>
      </c>
      <c r="E21" s="151"/>
      <c r="F21" s="151"/>
      <c r="G21" s="151"/>
      <c r="H21" s="151"/>
      <c r="I21" s="151"/>
    </row>
    <row r="22" spans="1:9" x14ac:dyDescent="0.25">
      <c r="A22" s="289" t="s">
        <v>369</v>
      </c>
      <c r="B22" s="305">
        <v>5</v>
      </c>
      <c r="C22" s="222">
        <v>330.58091259901641</v>
      </c>
      <c r="E22" s="151"/>
      <c r="F22" s="151"/>
      <c r="G22" s="151"/>
      <c r="H22" s="151"/>
      <c r="I22" s="151"/>
    </row>
    <row r="23" spans="1:9" x14ac:dyDescent="0.25">
      <c r="A23" s="289" t="s">
        <v>369</v>
      </c>
      <c r="B23" s="304">
        <v>6</v>
      </c>
      <c r="C23" s="221">
        <v>343.74588968203989</v>
      </c>
      <c r="E23" s="151"/>
      <c r="F23" s="151"/>
      <c r="G23" s="151"/>
      <c r="H23" s="151"/>
      <c r="I23" s="151"/>
    </row>
    <row r="24" spans="1:9" x14ac:dyDescent="0.25">
      <c r="A24" s="289" t="s">
        <v>369</v>
      </c>
      <c r="B24" s="305">
        <v>7</v>
      </c>
      <c r="C24" s="222">
        <v>368.38563710742528</v>
      </c>
      <c r="E24" s="151"/>
      <c r="F24" s="151"/>
      <c r="G24" s="151"/>
      <c r="H24" s="151"/>
      <c r="I24" s="151"/>
    </row>
    <row r="25" spans="1:9" x14ac:dyDescent="0.25">
      <c r="A25" s="289" t="s">
        <v>369</v>
      </c>
      <c r="B25" s="304">
        <v>8</v>
      </c>
      <c r="C25" s="221">
        <v>380.32604748888019</v>
      </c>
      <c r="E25" s="151"/>
      <c r="F25" s="151"/>
      <c r="G25" s="151"/>
      <c r="H25" s="151"/>
      <c r="I25" s="151"/>
    </row>
    <row r="26" spans="1:9" x14ac:dyDescent="0.25">
      <c r="A26" s="289" t="s">
        <v>369</v>
      </c>
      <c r="B26" s="305">
        <v>9</v>
      </c>
      <c r="C26" s="222">
        <v>391.60641225806472</v>
      </c>
      <c r="E26" s="151"/>
      <c r="F26" s="151"/>
      <c r="G26" s="151"/>
      <c r="H26" s="151"/>
      <c r="I26" s="151"/>
    </row>
    <row r="27" spans="1:9" x14ac:dyDescent="0.25">
      <c r="A27" s="289" t="s">
        <v>369</v>
      </c>
      <c r="B27" s="304">
        <v>10</v>
      </c>
      <c r="C27" s="221">
        <v>409.79013710323102</v>
      </c>
      <c r="E27" s="151"/>
      <c r="F27" s="151"/>
      <c r="G27" s="151"/>
      <c r="H27" s="151"/>
      <c r="I27" s="151"/>
    </row>
    <row r="28" spans="1:9" x14ac:dyDescent="0.25">
      <c r="A28" s="289" t="s">
        <v>369</v>
      </c>
      <c r="B28" s="305">
        <v>11</v>
      </c>
      <c r="C28" s="222">
        <v>404.21912304822871</v>
      </c>
      <c r="E28" s="151"/>
      <c r="F28" s="151"/>
      <c r="G28" s="151"/>
      <c r="H28" s="151"/>
      <c r="I28" s="151"/>
    </row>
    <row r="29" spans="1:9" x14ac:dyDescent="0.25">
      <c r="A29" s="290" t="s">
        <v>369</v>
      </c>
      <c r="B29" s="304">
        <v>12</v>
      </c>
      <c r="C29" s="221">
        <v>446.147145491988</v>
      </c>
      <c r="E29" s="151"/>
      <c r="F29" s="151"/>
      <c r="G29" s="151"/>
      <c r="H29" s="151"/>
      <c r="I29" s="151"/>
    </row>
    <row r="30" spans="1:9" x14ac:dyDescent="0.25">
      <c r="A30" s="291">
        <v>2018</v>
      </c>
      <c r="B30" s="303">
        <v>1</v>
      </c>
      <c r="C30" s="220">
        <v>382.4055871219964</v>
      </c>
      <c r="E30" s="151"/>
      <c r="F30" s="151"/>
      <c r="G30" s="151"/>
      <c r="H30" s="151"/>
      <c r="I30" s="151"/>
    </row>
    <row r="31" spans="1:9" x14ac:dyDescent="0.25">
      <c r="A31" s="292" t="s">
        <v>369</v>
      </c>
      <c r="B31" s="304">
        <v>2</v>
      </c>
      <c r="C31" s="221">
        <v>365.05649118360145</v>
      </c>
      <c r="E31" s="151"/>
      <c r="F31" s="151"/>
      <c r="G31" s="151"/>
      <c r="H31" s="151"/>
      <c r="I31" s="151"/>
    </row>
    <row r="32" spans="1:9" x14ac:dyDescent="0.25">
      <c r="A32" s="292" t="s">
        <v>369</v>
      </c>
      <c r="B32" s="305">
        <v>3</v>
      </c>
      <c r="C32" s="222">
        <v>363.66060354118815</v>
      </c>
      <c r="E32" s="151"/>
      <c r="F32" s="151"/>
      <c r="G32" s="151"/>
      <c r="H32" s="151"/>
      <c r="I32" s="151"/>
    </row>
    <row r="33" spans="1:9" x14ac:dyDescent="0.25">
      <c r="A33" s="292" t="s">
        <v>369</v>
      </c>
      <c r="B33" s="304">
        <v>4</v>
      </c>
      <c r="C33" s="221">
        <v>333.67611289344057</v>
      </c>
      <c r="E33" s="151"/>
      <c r="F33" s="151"/>
      <c r="G33" s="151"/>
      <c r="H33" s="151"/>
      <c r="I33" s="151"/>
    </row>
    <row r="34" spans="1:9" x14ac:dyDescent="0.25">
      <c r="A34" s="292" t="s">
        <v>369</v>
      </c>
      <c r="B34" s="305">
        <v>5</v>
      </c>
      <c r="C34" s="222">
        <v>339.29690573600408</v>
      </c>
      <c r="E34" s="151"/>
      <c r="F34" s="151"/>
      <c r="G34" s="151"/>
      <c r="H34" s="151"/>
      <c r="I34" s="151"/>
    </row>
    <row r="35" spans="1:9" x14ac:dyDescent="0.25">
      <c r="A35" s="292" t="s">
        <v>369</v>
      </c>
      <c r="B35" s="304">
        <v>6</v>
      </c>
      <c r="C35" s="221">
        <v>303.88018057435443</v>
      </c>
      <c r="E35" s="151"/>
    </row>
    <row r="36" spans="1:9" x14ac:dyDescent="0.25">
      <c r="A36" s="292" t="s">
        <v>369</v>
      </c>
      <c r="B36" s="305">
        <v>7</v>
      </c>
      <c r="C36" s="222">
        <v>365.1539890730225</v>
      </c>
      <c r="E36" s="151"/>
    </row>
    <row r="37" spans="1:9" x14ac:dyDescent="0.25">
      <c r="A37" s="292" t="s">
        <v>369</v>
      </c>
      <c r="B37" s="304">
        <v>8</v>
      </c>
      <c r="C37" s="221">
        <v>392.89990298347215</v>
      </c>
      <c r="E37" s="151"/>
    </row>
    <row r="38" spans="1:9" x14ac:dyDescent="0.25">
      <c r="A38" s="292" t="s">
        <v>369</v>
      </c>
      <c r="B38" s="305">
        <v>9</v>
      </c>
      <c r="C38" s="222">
        <v>386.29472027311698</v>
      </c>
      <c r="E38" s="151"/>
    </row>
    <row r="39" spans="1:9" x14ac:dyDescent="0.25">
      <c r="A39" s="292" t="s">
        <v>369</v>
      </c>
      <c r="B39" s="304">
        <v>10</v>
      </c>
      <c r="C39" s="221">
        <v>417.47025967590452</v>
      </c>
      <c r="E39" s="151"/>
    </row>
    <row r="40" spans="1:9" x14ac:dyDescent="0.25">
      <c r="A40" s="292" t="s">
        <v>369</v>
      </c>
      <c r="B40" s="305">
        <v>11</v>
      </c>
      <c r="C40" s="222">
        <v>422.06932248396942</v>
      </c>
      <c r="E40" s="151"/>
    </row>
    <row r="41" spans="1:9" x14ac:dyDescent="0.25">
      <c r="A41" s="292" t="s">
        <v>369</v>
      </c>
      <c r="B41" s="304">
        <v>12</v>
      </c>
      <c r="C41" s="221">
        <v>444.03322015714457</v>
      </c>
      <c r="E41" s="151"/>
    </row>
    <row r="42" spans="1:9" x14ac:dyDescent="0.25">
      <c r="A42" s="1"/>
      <c r="B42" s="21"/>
      <c r="C42" s="21"/>
      <c r="E42" s="151"/>
    </row>
    <row r="43" spans="1:9" x14ac:dyDescent="0.25">
      <c r="E43" s="151"/>
    </row>
    <row r="44" spans="1:9" x14ac:dyDescent="0.25">
      <c r="E44" s="151"/>
    </row>
    <row r="45" spans="1:9" x14ac:dyDescent="0.25">
      <c r="E45" s="151"/>
    </row>
    <row r="46" spans="1:9" x14ac:dyDescent="0.25">
      <c r="E46" s="151"/>
    </row>
    <row r="47" spans="1:9" x14ac:dyDescent="0.25">
      <c r="E47" s="151"/>
    </row>
    <row r="48" spans="1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Plan166"/>
  <dimension ref="A1:I68"/>
  <sheetViews>
    <sheetView showGridLines="0" workbookViewId="0">
      <selection activeCell="A5" sqref="A5:C41"/>
    </sheetView>
  </sheetViews>
  <sheetFormatPr defaultRowHeight="15" x14ac:dyDescent="0.25"/>
  <cols>
    <col min="1" max="1" width="14.85546875" customWidth="1"/>
    <col min="2" max="2" width="5.140625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323</v>
      </c>
      <c r="H1" s="78" t="s">
        <v>1322</v>
      </c>
    </row>
    <row r="3" spans="1:8" x14ac:dyDescent="0.25">
      <c r="A3" s="350" t="str">
        <f>"Tabela Referente à "&amp;G1</f>
        <v>Tabela Referente à Figura 6.4</v>
      </c>
      <c r="B3" s="350"/>
      <c r="C3" s="350"/>
    </row>
    <row r="4" spans="1:8" ht="32.25" customHeight="1" x14ac:dyDescent="0.25">
      <c r="A4" s="351" t="str">
        <f>H1</f>
        <v>Variação Tarifa Aérea Média Doméstica Real com relação ao mesmo mês no ano anterior, 2016 a 2018</v>
      </c>
      <c r="B4" s="351"/>
      <c r="C4" s="351"/>
    </row>
    <row r="5" spans="1:8" x14ac:dyDescent="0.25">
      <c r="A5" s="1" t="s">
        <v>20</v>
      </c>
      <c r="B5" s="21" t="s">
        <v>33</v>
      </c>
      <c r="C5" s="21" t="s">
        <v>665</v>
      </c>
    </row>
    <row r="6" spans="1:8" x14ac:dyDescent="0.25">
      <c r="A6" s="286">
        <v>2016</v>
      </c>
      <c r="B6" s="301">
        <v>1</v>
      </c>
      <c r="C6" s="76">
        <v>-6.1218284942709603E-2</v>
      </c>
    </row>
    <row r="7" spans="1:8" x14ac:dyDescent="0.25">
      <c r="A7" s="286" t="s">
        <v>369</v>
      </c>
      <c r="B7" s="302">
        <v>2</v>
      </c>
      <c r="C7" s="77">
        <v>3.5940132257806547E-2</v>
      </c>
    </row>
    <row r="8" spans="1:8" x14ac:dyDescent="0.25">
      <c r="A8" s="286" t="s">
        <v>369</v>
      </c>
      <c r="B8" s="301">
        <v>3</v>
      </c>
      <c r="C8" s="76">
        <v>8.2862509522228719E-2</v>
      </c>
    </row>
    <row r="9" spans="1:8" x14ac:dyDescent="0.25">
      <c r="A9" s="286" t="s">
        <v>369</v>
      </c>
      <c r="B9" s="302">
        <v>4</v>
      </c>
      <c r="C9" s="77">
        <v>8.2635382993239706E-2</v>
      </c>
    </row>
    <row r="10" spans="1:8" x14ac:dyDescent="0.25">
      <c r="A10" s="286" t="s">
        <v>369</v>
      </c>
      <c r="B10" s="301">
        <v>5</v>
      </c>
      <c r="C10" s="76">
        <v>-5.1087836494228975E-2</v>
      </c>
    </row>
    <row r="11" spans="1:8" x14ac:dyDescent="0.25">
      <c r="A11" s="286" t="s">
        <v>369</v>
      </c>
      <c r="B11" s="302">
        <v>6</v>
      </c>
      <c r="C11" s="77">
        <v>-6.8081601827349014E-2</v>
      </c>
    </row>
    <row r="12" spans="1:8" x14ac:dyDescent="0.25">
      <c r="A12" s="286" t="s">
        <v>369</v>
      </c>
      <c r="B12" s="301">
        <v>7</v>
      </c>
      <c r="C12" s="76">
        <v>-0.10589146434606558</v>
      </c>
    </row>
    <row r="13" spans="1:8" x14ac:dyDescent="0.25">
      <c r="A13" s="286" t="s">
        <v>369</v>
      </c>
      <c r="B13" s="302">
        <v>8</v>
      </c>
      <c r="C13" s="77">
        <v>-0.10445511632220809</v>
      </c>
    </row>
    <row r="14" spans="1:8" x14ac:dyDescent="0.25">
      <c r="A14" s="286" t="s">
        <v>369</v>
      </c>
      <c r="B14" s="301">
        <v>9</v>
      </c>
      <c r="C14" s="76">
        <v>-2.9623119057100973E-2</v>
      </c>
    </row>
    <row r="15" spans="1:8" x14ac:dyDescent="0.25">
      <c r="A15" s="286" t="s">
        <v>369</v>
      </c>
      <c r="B15" s="302">
        <v>10</v>
      </c>
      <c r="C15" s="77">
        <v>-1.0634809998878076E-2</v>
      </c>
    </row>
    <row r="16" spans="1:8" x14ac:dyDescent="0.25">
      <c r="A16" s="286" t="s">
        <v>369</v>
      </c>
      <c r="B16" s="301">
        <v>11</v>
      </c>
      <c r="C16" s="76">
        <v>5.5382709488568153E-2</v>
      </c>
    </row>
    <row r="17" spans="1:9" x14ac:dyDescent="0.25">
      <c r="A17" s="287" t="s">
        <v>369</v>
      </c>
      <c r="B17" s="302">
        <v>12</v>
      </c>
      <c r="C17" s="77">
        <v>-4.4148555329127641E-2</v>
      </c>
    </row>
    <row r="18" spans="1:9" x14ac:dyDescent="0.25">
      <c r="A18" s="288">
        <v>2017</v>
      </c>
      <c r="B18" s="303">
        <v>1</v>
      </c>
      <c r="C18" s="83">
        <v>-3.5886314216185778E-3</v>
      </c>
    </row>
    <row r="19" spans="1:9" x14ac:dyDescent="0.25">
      <c r="A19" s="289" t="s">
        <v>369</v>
      </c>
      <c r="B19" s="304">
        <v>2</v>
      </c>
      <c r="C19" s="84">
        <v>-6.639089594549924E-2</v>
      </c>
    </row>
    <row r="20" spans="1:9" x14ac:dyDescent="0.25">
      <c r="A20" s="289" t="s">
        <v>369</v>
      </c>
      <c r="B20" s="305">
        <v>3</v>
      </c>
      <c r="C20" s="85">
        <v>-6.7505114639300437E-2</v>
      </c>
    </row>
    <row r="21" spans="1:9" x14ac:dyDescent="0.25">
      <c r="A21" s="289" t="s">
        <v>369</v>
      </c>
      <c r="B21" s="304">
        <v>4</v>
      </c>
      <c r="C21" s="84">
        <v>1.4698145886781463E-2</v>
      </c>
      <c r="E21" s="151"/>
      <c r="F21" s="151"/>
      <c r="G21" s="151"/>
      <c r="H21" s="151"/>
      <c r="I21" s="151"/>
    </row>
    <row r="22" spans="1:9" x14ac:dyDescent="0.25">
      <c r="A22" s="289" t="s">
        <v>369</v>
      </c>
      <c r="B22" s="305">
        <v>5</v>
      </c>
      <c r="C22" s="85">
        <v>1.4475085995651275E-3</v>
      </c>
      <c r="E22" s="151"/>
      <c r="F22" s="151"/>
      <c r="G22" s="151"/>
      <c r="H22" s="151"/>
      <c r="I22" s="151"/>
    </row>
    <row r="23" spans="1:9" x14ac:dyDescent="0.25">
      <c r="A23" s="289" t="s">
        <v>369</v>
      </c>
      <c r="B23" s="304">
        <v>6</v>
      </c>
      <c r="C23" s="84">
        <v>-1.7701989234347664E-2</v>
      </c>
      <c r="E23" s="151"/>
      <c r="F23" s="151"/>
      <c r="G23" s="151"/>
      <c r="H23" s="151"/>
      <c r="I23" s="151"/>
    </row>
    <row r="24" spans="1:9" x14ac:dyDescent="0.25">
      <c r="A24" s="289" t="s">
        <v>369</v>
      </c>
      <c r="B24" s="305">
        <v>7</v>
      </c>
      <c r="C24" s="85">
        <v>1.4677923215710245E-3</v>
      </c>
      <c r="E24" s="151"/>
      <c r="F24" s="151"/>
      <c r="G24" s="151"/>
      <c r="H24" s="151"/>
      <c r="I24" s="151"/>
    </row>
    <row r="25" spans="1:9" x14ac:dyDescent="0.25">
      <c r="A25" s="289" t="s">
        <v>369</v>
      </c>
      <c r="B25" s="304">
        <v>8</v>
      </c>
      <c r="C25" s="84">
        <v>3.1477879008034976E-2</v>
      </c>
      <c r="E25" s="151"/>
      <c r="F25" s="151"/>
      <c r="G25" s="151"/>
      <c r="H25" s="151"/>
      <c r="I25" s="151"/>
    </row>
    <row r="26" spans="1:9" x14ac:dyDescent="0.25">
      <c r="A26" s="289" t="s">
        <v>369</v>
      </c>
      <c r="B26" s="305">
        <v>9</v>
      </c>
      <c r="C26" s="85">
        <v>-5.7930649310284764E-2</v>
      </c>
      <c r="E26" s="151"/>
      <c r="F26" s="151"/>
      <c r="G26" s="151"/>
      <c r="H26" s="151"/>
      <c r="I26" s="151"/>
    </row>
    <row r="27" spans="1:9" x14ac:dyDescent="0.25">
      <c r="A27" s="289" t="s">
        <v>369</v>
      </c>
      <c r="B27" s="304">
        <v>10</v>
      </c>
      <c r="C27" s="84">
        <v>-4.3107888338066183E-2</v>
      </c>
      <c r="E27" s="151"/>
      <c r="F27" s="151"/>
      <c r="G27" s="151"/>
      <c r="H27" s="151"/>
      <c r="I27" s="151"/>
    </row>
    <row r="28" spans="1:9" x14ac:dyDescent="0.25">
      <c r="A28" s="289" t="s">
        <v>369</v>
      </c>
      <c r="B28" s="305">
        <v>11</v>
      </c>
      <c r="C28" s="85">
        <v>-4.1257127290498734E-2</v>
      </c>
      <c r="E28" s="151"/>
      <c r="F28" s="151"/>
      <c r="G28" s="151"/>
      <c r="H28" s="151"/>
      <c r="I28" s="151"/>
    </row>
    <row r="29" spans="1:9" x14ac:dyDescent="0.25">
      <c r="A29" s="290" t="s">
        <v>369</v>
      </c>
      <c r="B29" s="304">
        <v>12</v>
      </c>
      <c r="C29" s="84">
        <v>0.14824650832776506</v>
      </c>
      <c r="E29" s="151"/>
      <c r="F29" s="151"/>
      <c r="G29" s="151"/>
      <c r="H29" s="151"/>
      <c r="I29" s="151"/>
    </row>
    <row r="30" spans="1:9" x14ac:dyDescent="0.25">
      <c r="A30" s="291">
        <v>2018</v>
      </c>
      <c r="B30" s="303">
        <v>1</v>
      </c>
      <c r="C30" s="83">
        <v>5.0887514463368935E-2</v>
      </c>
      <c r="E30" s="151"/>
      <c r="F30" s="151"/>
      <c r="G30" s="151"/>
      <c r="H30" s="151"/>
      <c r="I30" s="151"/>
    </row>
    <row r="31" spans="1:9" x14ac:dyDescent="0.25">
      <c r="A31" s="292" t="s">
        <v>369</v>
      </c>
      <c r="B31" s="304">
        <v>2</v>
      </c>
      <c r="C31" s="84">
        <v>7.0159618756152314E-2</v>
      </c>
      <c r="E31" s="151"/>
      <c r="F31" s="151"/>
      <c r="G31" s="151"/>
      <c r="H31" s="151"/>
      <c r="I31" s="151"/>
    </row>
    <row r="32" spans="1:9" x14ac:dyDescent="0.25">
      <c r="A32" s="292" t="s">
        <v>369</v>
      </c>
      <c r="B32" s="305">
        <v>3</v>
      </c>
      <c r="C32" s="85">
        <v>0.10331477738737847</v>
      </c>
      <c r="E32" s="151"/>
      <c r="F32" s="151"/>
      <c r="G32" s="151"/>
      <c r="H32" s="151"/>
      <c r="I32" s="151"/>
    </row>
    <row r="33" spans="1:9" x14ac:dyDescent="0.25">
      <c r="A33" s="292" t="s">
        <v>369</v>
      </c>
      <c r="B33" s="304">
        <v>4</v>
      </c>
      <c r="C33" s="84">
        <v>-2.3643967008878514E-2</v>
      </c>
      <c r="E33" s="151"/>
      <c r="F33" s="151"/>
      <c r="G33" s="151"/>
      <c r="H33" s="151"/>
      <c r="I33" s="151"/>
    </row>
    <row r="34" spans="1:9" x14ac:dyDescent="0.25">
      <c r="A34" s="292" t="s">
        <v>369</v>
      </c>
      <c r="B34" s="305">
        <v>5</v>
      </c>
      <c r="C34" s="85">
        <v>2.6365687808357741E-2</v>
      </c>
      <c r="E34" s="151"/>
      <c r="F34" s="151"/>
      <c r="G34" s="151"/>
      <c r="H34" s="151"/>
      <c r="I34" s="151"/>
    </row>
    <row r="35" spans="1:9" x14ac:dyDescent="0.25">
      <c r="A35" s="292" t="s">
        <v>369</v>
      </c>
      <c r="B35" s="304">
        <v>6</v>
      </c>
      <c r="C35" s="84">
        <v>-0.11597435868850878</v>
      </c>
      <c r="E35" s="151"/>
    </row>
    <row r="36" spans="1:9" x14ac:dyDescent="0.25">
      <c r="A36" s="292" t="s">
        <v>369</v>
      </c>
      <c r="B36" s="305">
        <v>7</v>
      </c>
      <c r="C36" s="85">
        <v>-8.7724593710487055E-3</v>
      </c>
      <c r="E36" s="151"/>
    </row>
    <row r="37" spans="1:9" x14ac:dyDescent="0.25">
      <c r="A37" s="292" t="s">
        <v>369</v>
      </c>
      <c r="B37" s="304">
        <v>8</v>
      </c>
      <c r="C37" s="84">
        <v>3.3060726651806781E-2</v>
      </c>
      <c r="E37" s="151"/>
    </row>
    <row r="38" spans="1:9" x14ac:dyDescent="0.25">
      <c r="A38" s="292" t="s">
        <v>369</v>
      </c>
      <c r="B38" s="305">
        <v>9</v>
      </c>
      <c r="C38" s="85">
        <v>-1.3563853447444039E-2</v>
      </c>
      <c r="E38" s="151"/>
    </row>
    <row r="39" spans="1:9" x14ac:dyDescent="0.25">
      <c r="A39" s="292" t="s">
        <v>369</v>
      </c>
      <c r="B39" s="304">
        <v>10</v>
      </c>
      <c r="C39" s="84">
        <v>1.8741599363429243E-2</v>
      </c>
      <c r="E39" s="151"/>
    </row>
    <row r="40" spans="1:9" x14ac:dyDescent="0.25">
      <c r="A40" s="292" t="s">
        <v>369</v>
      </c>
      <c r="B40" s="305">
        <v>11</v>
      </c>
      <c r="C40" s="85">
        <v>4.4159710458851649E-2</v>
      </c>
      <c r="E40" s="151"/>
    </row>
    <row r="41" spans="1:9" x14ac:dyDescent="0.25">
      <c r="A41" s="292" t="s">
        <v>369</v>
      </c>
      <c r="B41" s="304">
        <v>12</v>
      </c>
      <c r="C41" s="84">
        <v>-4.7381796705486074E-3</v>
      </c>
      <c r="E41" s="151"/>
    </row>
    <row r="42" spans="1:9" x14ac:dyDescent="0.25">
      <c r="A42" s="1"/>
      <c r="B42" s="21"/>
      <c r="C42" s="21"/>
      <c r="E42" s="151"/>
    </row>
    <row r="43" spans="1:9" x14ac:dyDescent="0.25">
      <c r="E43" s="151"/>
    </row>
    <row r="44" spans="1:9" x14ac:dyDescent="0.25">
      <c r="E44" s="151"/>
    </row>
    <row r="45" spans="1:9" x14ac:dyDescent="0.25">
      <c r="E45" s="151"/>
    </row>
    <row r="46" spans="1:9" x14ac:dyDescent="0.25">
      <c r="E46" s="151"/>
    </row>
    <row r="47" spans="1:9" x14ac:dyDescent="0.25">
      <c r="E47" s="151"/>
    </row>
    <row r="48" spans="1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Plan203"/>
  <dimension ref="A1:I68"/>
  <sheetViews>
    <sheetView showGridLines="0" workbookViewId="0">
      <selection activeCell="G3" sqref="G3"/>
    </sheetView>
  </sheetViews>
  <sheetFormatPr defaultRowHeight="15" x14ac:dyDescent="0.25"/>
  <cols>
    <col min="1" max="1" width="14.85546875" customWidth="1"/>
    <col min="2" max="2" width="5.140625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324</v>
      </c>
      <c r="H1" s="78" t="s">
        <v>1323</v>
      </c>
    </row>
    <row r="3" spans="1:8" x14ac:dyDescent="0.25">
      <c r="A3" s="350" t="str">
        <f>"Tabela Referente à "&amp;G1</f>
        <v>Tabela Referente à Figura 6.5</v>
      </c>
      <c r="B3" s="350"/>
      <c r="C3" s="350"/>
    </row>
    <row r="4" spans="1:8" ht="32.25" customHeight="1" x14ac:dyDescent="0.25">
      <c r="A4" s="352" t="str">
        <f>H1</f>
        <v>Tarifa Aérea Doméstica Real Trimestral, 2016 a 2018</v>
      </c>
      <c r="B4" s="352"/>
      <c r="C4" s="352"/>
    </row>
    <row r="5" spans="1:8" x14ac:dyDescent="0.25">
      <c r="A5" s="1" t="s">
        <v>20</v>
      </c>
      <c r="B5" s="21" t="s">
        <v>33</v>
      </c>
      <c r="C5" s="21" t="s">
        <v>665</v>
      </c>
    </row>
    <row r="6" spans="1:8" x14ac:dyDescent="0.25">
      <c r="A6" s="286">
        <v>2016</v>
      </c>
      <c r="B6" s="76" t="s">
        <v>661</v>
      </c>
      <c r="C6" s="218">
        <v>361.28617052620967</v>
      </c>
    </row>
    <row r="7" spans="1:8" x14ac:dyDescent="0.25">
      <c r="A7" s="286" t="s">
        <v>369</v>
      </c>
      <c r="B7" s="77" t="s">
        <v>662</v>
      </c>
      <c r="C7" s="219">
        <v>338.94418424561013</v>
      </c>
    </row>
    <row r="8" spans="1:8" x14ac:dyDescent="0.25">
      <c r="A8" s="286" t="s">
        <v>369</v>
      </c>
      <c r="B8" s="76" t="s">
        <v>663</v>
      </c>
      <c r="C8" s="218">
        <v>382.87931950211089</v>
      </c>
    </row>
    <row r="9" spans="1:8" x14ac:dyDescent="0.25">
      <c r="A9" s="286" t="s">
        <v>369</v>
      </c>
      <c r="B9" s="77" t="s">
        <v>664</v>
      </c>
      <c r="C9" s="219">
        <v>413.82968412308719</v>
      </c>
    </row>
    <row r="10" spans="1:8" x14ac:dyDescent="0.25">
      <c r="A10" s="293">
        <v>2017</v>
      </c>
      <c r="B10" s="76" t="s">
        <v>661</v>
      </c>
      <c r="C10" s="218">
        <v>344.60420941847826</v>
      </c>
    </row>
    <row r="11" spans="1:8" x14ac:dyDescent="0.25">
      <c r="A11" s="293" t="s">
        <v>369</v>
      </c>
      <c r="B11" s="77" t="s">
        <v>662</v>
      </c>
      <c r="C11" s="219">
        <v>338.56332549749942</v>
      </c>
    </row>
    <row r="12" spans="1:8" x14ac:dyDescent="0.25">
      <c r="A12" s="293" t="s">
        <v>369</v>
      </c>
      <c r="B12" s="76" t="s">
        <v>663</v>
      </c>
      <c r="C12" s="218">
        <v>380.09812486505115</v>
      </c>
    </row>
    <row r="13" spans="1:8" x14ac:dyDescent="0.25">
      <c r="A13" s="293" t="s">
        <v>369</v>
      </c>
      <c r="B13" s="77" t="s">
        <v>664</v>
      </c>
      <c r="C13" s="219">
        <v>417.87990354116891</v>
      </c>
    </row>
    <row r="14" spans="1:8" x14ac:dyDescent="0.25">
      <c r="A14" s="286">
        <v>2018</v>
      </c>
      <c r="B14" s="76" t="s">
        <v>661</v>
      </c>
      <c r="C14" s="218">
        <v>370.91566703343409</v>
      </c>
    </row>
    <row r="15" spans="1:8" x14ac:dyDescent="0.25">
      <c r="A15" s="286" t="s">
        <v>369</v>
      </c>
      <c r="B15" s="77" t="s">
        <v>662</v>
      </c>
      <c r="C15" s="219">
        <v>325.36177931094943</v>
      </c>
    </row>
    <row r="16" spans="1:8" x14ac:dyDescent="0.25">
      <c r="A16" s="286" t="s">
        <v>369</v>
      </c>
      <c r="B16" s="76" t="s">
        <v>663</v>
      </c>
      <c r="C16" s="218">
        <v>381.27634024718026</v>
      </c>
    </row>
    <row r="17" spans="1:9" x14ac:dyDescent="0.25">
      <c r="A17" s="286" t="s">
        <v>369</v>
      </c>
      <c r="B17" s="77" t="s">
        <v>664</v>
      </c>
      <c r="C17" s="219">
        <v>426.53760668176193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Plan245"/>
  <dimension ref="A1:I68"/>
  <sheetViews>
    <sheetView showGridLines="0" workbookViewId="0">
      <selection activeCell="A5" sqref="A5:C17"/>
    </sheetView>
  </sheetViews>
  <sheetFormatPr defaultRowHeight="15" x14ac:dyDescent="0.25"/>
  <cols>
    <col min="1" max="1" width="14.85546875" customWidth="1"/>
    <col min="2" max="2" width="5.140625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325</v>
      </c>
      <c r="H1" s="78" t="s">
        <v>1324</v>
      </c>
    </row>
    <row r="3" spans="1:8" x14ac:dyDescent="0.25">
      <c r="A3" s="350" t="str">
        <f>"Tabela Referente à "&amp;G1</f>
        <v>Tabela Referente à Figura 6.6</v>
      </c>
      <c r="B3" s="350"/>
      <c r="C3" s="350"/>
    </row>
    <row r="4" spans="1:8" ht="32.25" customHeight="1" x14ac:dyDescent="0.25">
      <c r="A4" s="352" t="str">
        <f>H1</f>
        <v>Variação da Tarifa Aérea Doméstica Real Trimestral com relação ao mesmo trimestre do ano anterior, 2016 a 2018</v>
      </c>
      <c r="B4" s="352"/>
      <c r="C4" s="352"/>
    </row>
    <row r="5" spans="1:8" x14ac:dyDescent="0.25">
      <c r="A5" s="1" t="s">
        <v>20</v>
      </c>
      <c r="B5" s="21" t="s">
        <v>33</v>
      </c>
      <c r="C5" s="21" t="s">
        <v>665</v>
      </c>
    </row>
    <row r="6" spans="1:8" x14ac:dyDescent="0.25">
      <c r="A6" s="286">
        <v>2016</v>
      </c>
      <c r="B6" s="76" t="s">
        <v>661</v>
      </c>
      <c r="C6" s="215">
        <v>1.8318227764403731E-2</v>
      </c>
    </row>
    <row r="7" spans="1:8" x14ac:dyDescent="0.25">
      <c r="A7" s="286" t="s">
        <v>369</v>
      </c>
      <c r="B7" s="77" t="s">
        <v>662</v>
      </c>
      <c r="C7" s="214">
        <v>-1.4455743952488304E-2</v>
      </c>
    </row>
    <row r="8" spans="1:8" x14ac:dyDescent="0.25">
      <c r="A8" s="286" t="s">
        <v>369</v>
      </c>
      <c r="B8" s="76" t="s">
        <v>663</v>
      </c>
      <c r="C8" s="215">
        <v>-8.1755191365788085E-2</v>
      </c>
    </row>
    <row r="9" spans="1:8" x14ac:dyDescent="0.25">
      <c r="A9" s="286" t="s">
        <v>369</v>
      </c>
      <c r="B9" s="77" t="s">
        <v>664</v>
      </c>
      <c r="C9" s="214">
        <v>2.958034910455363E-3</v>
      </c>
    </row>
    <row r="10" spans="1:8" x14ac:dyDescent="0.25">
      <c r="A10" s="293">
        <v>2017</v>
      </c>
      <c r="B10" s="76" t="s">
        <v>661</v>
      </c>
      <c r="C10" s="215">
        <v>-4.6173815851944466E-2</v>
      </c>
    </row>
    <row r="11" spans="1:8" x14ac:dyDescent="0.25">
      <c r="A11" s="293" t="s">
        <v>369</v>
      </c>
      <c r="B11" s="77" t="s">
        <v>662</v>
      </c>
      <c r="C11" s="214">
        <v>-1.1236621420674039E-3</v>
      </c>
    </row>
    <row r="12" spans="1:8" x14ac:dyDescent="0.25">
      <c r="A12" s="293" t="s">
        <v>369</v>
      </c>
      <c r="B12" s="76" t="s">
        <v>663</v>
      </c>
      <c r="C12" s="215">
        <v>-7.2638935962285834E-3</v>
      </c>
    </row>
    <row r="13" spans="1:8" x14ac:dyDescent="0.25">
      <c r="A13" s="293" t="s">
        <v>369</v>
      </c>
      <c r="B13" s="77" t="s">
        <v>664</v>
      </c>
      <c r="C13" s="214">
        <v>9.7871650427015996E-3</v>
      </c>
    </row>
    <row r="14" spans="1:8" x14ac:dyDescent="0.25">
      <c r="A14" s="286">
        <v>2018</v>
      </c>
      <c r="B14" s="76" t="s">
        <v>661</v>
      </c>
      <c r="C14" s="215">
        <v>7.6352687796114205E-2</v>
      </c>
    </row>
    <row r="15" spans="1:8" x14ac:dyDescent="0.25">
      <c r="A15" s="286" t="s">
        <v>369</v>
      </c>
      <c r="B15" s="77" t="s">
        <v>662</v>
      </c>
      <c r="C15" s="214">
        <v>-3.8992841788610962E-2</v>
      </c>
    </row>
    <row r="16" spans="1:8" x14ac:dyDescent="0.25">
      <c r="A16" s="286" t="s">
        <v>369</v>
      </c>
      <c r="B16" s="76" t="s">
        <v>663</v>
      </c>
      <c r="C16" s="215">
        <v>3.0997663630869536E-3</v>
      </c>
    </row>
    <row r="17" spans="1:9" x14ac:dyDescent="0.25">
      <c r="A17" s="286" t="s">
        <v>369</v>
      </c>
      <c r="B17" s="77" t="s">
        <v>664</v>
      </c>
      <c r="C17" s="214">
        <v>2.0718161048728371E-2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Plan137"/>
  <dimension ref="A1:H25"/>
  <sheetViews>
    <sheetView showGridLines="0" topLeftCell="A19" workbookViewId="0">
      <selection activeCell="B16" sqref="B16:B21"/>
    </sheetView>
  </sheetViews>
  <sheetFormatPr defaultRowHeight="15" x14ac:dyDescent="0.25"/>
  <cols>
    <col min="1" max="1" width="21.5703125" bestFit="1" customWidth="1"/>
    <col min="2" max="2" width="20" bestFit="1" customWidth="1"/>
    <col min="3" max="3" width="52.85546875" bestFit="1" customWidth="1"/>
    <col min="4" max="4" width="19.85546875" bestFit="1" customWidth="1"/>
    <col min="5" max="5" width="52.85546875" bestFit="1" customWidth="1"/>
  </cols>
  <sheetData>
    <row r="1" spans="1:8" x14ac:dyDescent="0.25">
      <c r="C1" s="78"/>
      <c r="D1" s="78"/>
      <c r="E1" s="78"/>
      <c r="F1" s="78"/>
      <c r="G1" s="78" t="s">
        <v>326</v>
      </c>
      <c r="H1" s="78" t="s">
        <v>1325</v>
      </c>
    </row>
    <row r="3" spans="1:8" ht="15" customHeight="1" x14ac:dyDescent="0.25">
      <c r="A3" s="354" t="str">
        <f>"Tabela Referente à "&amp;G1</f>
        <v>Tabela Referente à Figura 6.7</v>
      </c>
      <c r="B3" s="354"/>
      <c r="C3" s="354"/>
      <c r="D3" s="354"/>
      <c r="E3" s="354"/>
    </row>
    <row r="4" spans="1:8" x14ac:dyDescent="0.25">
      <c r="A4" s="351" t="str">
        <f>H1</f>
        <v>Distribuição percentual de assentos comercializados por intervalo de Tarifa Aérea Doméstica Real, 2009 e 2018</v>
      </c>
      <c r="B4" s="351"/>
      <c r="C4" s="351"/>
      <c r="D4" s="351"/>
      <c r="E4" s="351"/>
    </row>
    <row r="5" spans="1:8" x14ac:dyDescent="0.25">
      <c r="A5" s="1" t="s">
        <v>245</v>
      </c>
      <c r="B5" s="21" t="s">
        <v>821</v>
      </c>
      <c r="C5" s="1" t="s">
        <v>822</v>
      </c>
      <c r="D5" s="1" t="s">
        <v>669</v>
      </c>
      <c r="E5" s="21" t="s">
        <v>823</v>
      </c>
    </row>
    <row r="6" spans="1:8" x14ac:dyDescent="0.25">
      <c r="A6" s="17" t="s">
        <v>670</v>
      </c>
      <c r="B6" s="76">
        <v>6.7119508053460633E-2</v>
      </c>
      <c r="C6" s="76">
        <v>0.11923960098248769</v>
      </c>
      <c r="D6" s="76">
        <v>5.6691010686216119E-2</v>
      </c>
      <c r="E6" s="76">
        <v>5.5695340738417861E-3</v>
      </c>
    </row>
    <row r="7" spans="1:8" x14ac:dyDescent="0.25">
      <c r="A7" s="18" t="s">
        <v>671</v>
      </c>
      <c r="B7" s="77">
        <v>0.23905154672879333</v>
      </c>
      <c r="C7" s="77">
        <v>0.35819090333440423</v>
      </c>
      <c r="D7" s="77">
        <v>0.24220913063994812</v>
      </c>
      <c r="E7" s="77">
        <v>8.8787733747049791E-2</v>
      </c>
    </row>
    <row r="8" spans="1:8" x14ac:dyDescent="0.25">
      <c r="A8" s="17" t="s">
        <v>672</v>
      </c>
      <c r="B8" s="76">
        <v>0.20165366289194567</v>
      </c>
      <c r="C8" s="76">
        <v>0.20145292242651078</v>
      </c>
      <c r="D8" s="76">
        <v>0.2087272464021751</v>
      </c>
      <c r="E8" s="76">
        <v>0.1807923880572381</v>
      </c>
    </row>
    <row r="9" spans="1:8" x14ac:dyDescent="0.25">
      <c r="A9" s="18" t="s">
        <v>673</v>
      </c>
      <c r="B9" s="77">
        <v>0.15621957379080273</v>
      </c>
      <c r="C9" s="77">
        <v>0.11481476804926209</v>
      </c>
      <c r="D9" s="77">
        <v>0.15952974108245668</v>
      </c>
      <c r="E9" s="77">
        <v>0.16242428493620956</v>
      </c>
    </row>
    <row r="10" spans="1:8" x14ac:dyDescent="0.25">
      <c r="A10" s="17" t="s">
        <v>674</v>
      </c>
      <c r="B10" s="76">
        <v>0.10344677846426846</v>
      </c>
      <c r="C10" s="76">
        <v>6.7759588721156769E-2</v>
      </c>
      <c r="D10" s="76">
        <v>0.10630742070772164</v>
      </c>
      <c r="E10" s="76">
        <v>0.11719161068840879</v>
      </c>
    </row>
    <row r="11" spans="1:8" x14ac:dyDescent="0.25">
      <c r="A11" s="18" t="s">
        <v>675</v>
      </c>
      <c r="B11" s="77">
        <v>6.9541964320542882E-2</v>
      </c>
      <c r="C11" s="77">
        <v>4.2553012659436541E-2</v>
      </c>
      <c r="D11" s="77">
        <v>6.8982430918693549E-2</v>
      </c>
      <c r="E11" s="77">
        <v>0.10886084932908614</v>
      </c>
    </row>
    <row r="12" spans="1:8" x14ac:dyDescent="0.25">
      <c r="A12" s="17" t="s">
        <v>676</v>
      </c>
      <c r="B12" s="76">
        <v>4.731554970433681E-2</v>
      </c>
      <c r="C12" s="76">
        <v>2.8386239906748181E-2</v>
      </c>
      <c r="D12" s="76">
        <v>4.8200703334538866E-2</v>
      </c>
      <c r="E12" s="76">
        <v>0.10408246546402812</v>
      </c>
    </row>
    <row r="13" spans="1:8" x14ac:dyDescent="0.25">
      <c r="A13" s="18" t="s">
        <v>677</v>
      </c>
      <c r="B13" s="77">
        <v>3.2654281755545335E-2</v>
      </c>
      <c r="C13" s="77">
        <v>1.9415948764615644E-2</v>
      </c>
      <c r="D13" s="77">
        <v>3.3267289531209145E-2</v>
      </c>
      <c r="E13" s="77">
        <v>9.0939114360692533E-2</v>
      </c>
    </row>
    <row r="14" spans="1:8" x14ac:dyDescent="0.25">
      <c r="A14" s="17" t="s">
        <v>678</v>
      </c>
      <c r="B14" s="76">
        <v>2.3692521213626513E-2</v>
      </c>
      <c r="C14" s="76">
        <v>1.3500205845900769E-2</v>
      </c>
      <c r="D14" s="76">
        <v>2.3131829404090629E-2</v>
      </c>
      <c r="E14" s="76">
        <v>5.5901731337371467E-2</v>
      </c>
    </row>
    <row r="15" spans="1:8" x14ac:dyDescent="0.25">
      <c r="A15" s="18" t="s">
        <v>679</v>
      </c>
      <c r="B15" s="77">
        <v>1.6735008358852936E-2</v>
      </c>
      <c r="C15" s="77">
        <v>9.4461910525520543E-3</v>
      </c>
      <c r="D15" s="77">
        <v>1.5980035188978142E-2</v>
      </c>
      <c r="E15" s="77">
        <v>3.4532010761029228E-2</v>
      </c>
    </row>
    <row r="16" spans="1:8" x14ac:dyDescent="0.25">
      <c r="A16" s="17" t="s">
        <v>680</v>
      </c>
      <c r="B16" s="76">
        <v>1.2060212286870861E-2</v>
      </c>
      <c r="C16" s="76">
        <v>6.9728164052217118E-3</v>
      </c>
      <c r="D16" s="76">
        <v>1.0595982333789621E-2</v>
      </c>
      <c r="E16" s="76">
        <v>1.5374531680668107E-2</v>
      </c>
    </row>
    <row r="17" spans="1:5" x14ac:dyDescent="0.25">
      <c r="A17" s="18" t="s">
        <v>681</v>
      </c>
      <c r="B17" s="77">
        <v>8.854862125481722E-3</v>
      </c>
      <c r="C17" s="77">
        <v>5.2337860228887133E-3</v>
      </c>
      <c r="D17" s="77">
        <v>7.125325637247183E-3</v>
      </c>
      <c r="E17" s="77">
        <v>9.4286916767069937E-3</v>
      </c>
    </row>
    <row r="18" spans="1:5" x14ac:dyDescent="0.25">
      <c r="A18" s="17" t="s">
        <v>682</v>
      </c>
      <c r="B18" s="76">
        <v>6.2702606599191087E-3</v>
      </c>
      <c r="C18" s="76">
        <v>3.8097706780334081E-3</v>
      </c>
      <c r="D18" s="76">
        <v>5.0719668471618413E-3</v>
      </c>
      <c r="E18" s="76">
        <v>5.711185198633415E-3</v>
      </c>
    </row>
    <row r="19" spans="1:5" x14ac:dyDescent="0.25">
      <c r="A19" s="18" t="s">
        <v>683</v>
      </c>
      <c r="B19" s="77">
        <v>4.4607434046309465E-3</v>
      </c>
      <c r="C19" s="77">
        <v>2.7919589341361818E-3</v>
      </c>
      <c r="D19" s="77">
        <v>3.5566989797204121E-3</v>
      </c>
      <c r="E19" s="77">
        <v>5.2101041443166247E-3</v>
      </c>
    </row>
    <row r="20" spans="1:5" x14ac:dyDescent="0.25">
      <c r="A20" s="17" t="s">
        <v>684</v>
      </c>
      <c r="B20" s="76">
        <v>3.1355073491887066E-3</v>
      </c>
      <c r="C20" s="76">
        <v>2.0107922585975635E-3</v>
      </c>
      <c r="D20" s="76">
        <v>2.826212802915797E-3</v>
      </c>
      <c r="E20" s="76">
        <v>4.8025219099176418E-3</v>
      </c>
    </row>
    <row r="21" spans="1:5" x14ac:dyDescent="0.25">
      <c r="A21" s="18" t="s">
        <v>685</v>
      </c>
      <c r="B21" s="77">
        <v>7.7880188917333944E-3</v>
      </c>
      <c r="C21" s="77">
        <v>4.4214939580476571E-3</v>
      </c>
      <c r="D21" s="77">
        <v>7.7969755031371346E-3</v>
      </c>
      <c r="E21" s="77">
        <v>1.0391242634801698E-2</v>
      </c>
    </row>
    <row r="22" spans="1:5" x14ac:dyDescent="0.25">
      <c r="A22" s="1"/>
      <c r="B22" s="21"/>
      <c r="C22" s="1"/>
      <c r="D22" s="21"/>
      <c r="E22" s="21"/>
    </row>
    <row r="25" spans="1:5" x14ac:dyDescent="0.25">
      <c r="C25" s="82"/>
    </row>
  </sheetData>
  <mergeCells count="2">
    <mergeCell ref="A4:E4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Plan222"/>
  <dimension ref="A1:H18"/>
  <sheetViews>
    <sheetView showGridLines="0" workbookViewId="0">
      <selection activeCell="A5" sqref="A5:B15"/>
    </sheetView>
  </sheetViews>
  <sheetFormatPr defaultRowHeight="15" x14ac:dyDescent="0.25"/>
  <cols>
    <col min="1" max="1" width="19.140625" customWidth="1"/>
    <col min="2" max="2" width="34.140625" customWidth="1"/>
  </cols>
  <sheetData>
    <row r="1" spans="1:8" x14ac:dyDescent="0.25">
      <c r="C1" s="78"/>
      <c r="D1" s="78"/>
      <c r="E1" s="78"/>
      <c r="F1" s="78"/>
      <c r="G1" s="78" t="s">
        <v>327</v>
      </c>
      <c r="H1" s="78" t="s">
        <v>1326</v>
      </c>
    </row>
    <row r="3" spans="1:8" x14ac:dyDescent="0.25">
      <c r="A3" s="350" t="str">
        <f>"Tabela Referente à "&amp;G1</f>
        <v>Tabela Referente à Figura 6.8</v>
      </c>
      <c r="B3" s="350"/>
    </row>
    <row r="4" spans="1:8" ht="16.5" customHeight="1" x14ac:dyDescent="0.25">
      <c r="A4" s="351" t="str">
        <f>H1</f>
        <v>Evolução da distância direta média, 2009 a 2018</v>
      </c>
      <c r="B4" s="351"/>
    </row>
    <row r="5" spans="1:8" x14ac:dyDescent="0.25">
      <c r="A5" s="1" t="s">
        <v>20</v>
      </c>
      <c r="B5" s="21" t="s">
        <v>660</v>
      </c>
    </row>
    <row r="6" spans="1:8" x14ac:dyDescent="0.25">
      <c r="A6" s="18">
        <v>2009</v>
      </c>
      <c r="B6" s="77">
        <v>3.9433705076496028E-3</v>
      </c>
    </row>
    <row r="7" spans="1:8" x14ac:dyDescent="0.25">
      <c r="A7" s="17">
        <v>2010</v>
      </c>
      <c r="B7" s="76">
        <v>0.12652889530710049</v>
      </c>
    </row>
    <row r="8" spans="1:8" x14ac:dyDescent="0.25">
      <c r="A8" s="18">
        <v>2011</v>
      </c>
      <c r="B8" s="77">
        <v>4.229588320277736E-3</v>
      </c>
    </row>
    <row r="9" spans="1:8" x14ac:dyDescent="0.25">
      <c r="A9" s="17">
        <v>2012</v>
      </c>
      <c r="B9" s="76">
        <v>5.0067863726929581E-3</v>
      </c>
    </row>
    <row r="10" spans="1:8" x14ac:dyDescent="0.25">
      <c r="A10" s="18">
        <v>2013</v>
      </c>
      <c r="B10" s="77">
        <v>2.7570035915287464E-2</v>
      </c>
    </row>
    <row r="11" spans="1:8" x14ac:dyDescent="0.25">
      <c r="A11" s="17">
        <v>2014</v>
      </c>
      <c r="B11" s="76">
        <v>6.9316431312717065E-3</v>
      </c>
    </row>
    <row r="12" spans="1:8" x14ac:dyDescent="0.25">
      <c r="A12" s="18">
        <v>2015</v>
      </c>
      <c r="B12" s="77">
        <v>3.0884567824197573E-2</v>
      </c>
    </row>
    <row r="13" spans="1:8" x14ac:dyDescent="0.25">
      <c r="A13" s="17">
        <v>2016</v>
      </c>
      <c r="B13" s="76">
        <v>2.2614666573286576E-2</v>
      </c>
      <c r="C13" s="11"/>
    </row>
    <row r="14" spans="1:8" x14ac:dyDescent="0.25">
      <c r="A14" s="18">
        <v>2017</v>
      </c>
      <c r="B14" s="77">
        <v>2.6091040599762961E-2</v>
      </c>
      <c r="C14" s="11"/>
    </row>
    <row r="15" spans="1:8" x14ac:dyDescent="0.25">
      <c r="A15" s="17">
        <v>2018</v>
      </c>
      <c r="B15" s="76">
        <v>1.7852012456084903E-2</v>
      </c>
      <c r="C15" s="11"/>
    </row>
    <row r="16" spans="1:8" x14ac:dyDescent="0.25">
      <c r="A16" s="1"/>
      <c r="B16" s="21"/>
      <c r="C16" s="11"/>
    </row>
    <row r="17" spans="2:3" x14ac:dyDescent="0.25">
      <c r="B17" s="114" t="e">
        <f>B14/#REF!-1</f>
        <v>#REF!</v>
      </c>
      <c r="C17" s="11"/>
    </row>
    <row r="18" spans="2:3" x14ac:dyDescent="0.25">
      <c r="C18" s="1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8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250</v>
      </c>
      <c r="H1" s="78" t="s">
        <v>1427</v>
      </c>
    </row>
    <row r="3" spans="1:8" x14ac:dyDescent="0.25">
      <c r="A3" s="350" t="str">
        <f>"Tabela Referente à "&amp;G1</f>
        <v>Tabela Referente à Figura 2.5</v>
      </c>
      <c r="B3" s="350"/>
    </row>
    <row r="4" spans="1:8" ht="32.25" customHeight="1" x14ac:dyDescent="0.25">
      <c r="A4" s="351" t="str">
        <f>H1</f>
        <v>Variação na quantidade de voos com relação ao ano anterior – mercado doméstico, 2009 a 2018</v>
      </c>
      <c r="B4" s="351"/>
    </row>
    <row r="5" spans="1:8" x14ac:dyDescent="0.25">
      <c r="A5" s="1" t="s">
        <v>20</v>
      </c>
      <c r="B5" s="21" t="s">
        <v>568</v>
      </c>
    </row>
    <row r="6" spans="1:8" x14ac:dyDescent="0.25">
      <c r="A6" s="17">
        <v>2009</v>
      </c>
      <c r="B6" s="10">
        <v>0.11629407360969939</v>
      </c>
    </row>
    <row r="7" spans="1:8" x14ac:dyDescent="0.25">
      <c r="A7" s="18">
        <v>2010</v>
      </c>
      <c r="B7" s="11">
        <v>0.15143179612444521</v>
      </c>
    </row>
    <row r="8" spans="1:8" x14ac:dyDescent="0.25">
      <c r="A8" s="17">
        <v>2011</v>
      </c>
      <c r="B8" s="10">
        <v>0.13420455110462901</v>
      </c>
    </row>
    <row r="9" spans="1:8" x14ac:dyDescent="0.25">
      <c r="A9" s="18">
        <v>2012</v>
      </c>
      <c r="B9" s="11">
        <v>3.4189104701784712E-2</v>
      </c>
    </row>
    <row r="10" spans="1:8" x14ac:dyDescent="0.25">
      <c r="A10" s="17">
        <v>2013</v>
      </c>
      <c r="B10" s="10">
        <v>-4.4566271614258218E-2</v>
      </c>
    </row>
    <row r="11" spans="1:8" x14ac:dyDescent="0.25">
      <c r="A11" s="18">
        <v>2014</v>
      </c>
      <c r="B11" s="11">
        <v>-5.0999227828592737E-3</v>
      </c>
    </row>
    <row r="12" spans="1:8" x14ac:dyDescent="0.25">
      <c r="A12" s="17">
        <v>2015</v>
      </c>
      <c r="B12" s="10">
        <v>-6.5594100140892479E-3</v>
      </c>
    </row>
    <row r="13" spans="1:8" x14ac:dyDescent="0.25">
      <c r="A13" s="18">
        <v>2016</v>
      </c>
      <c r="B13" s="11">
        <v>-0.1141229593608892</v>
      </c>
    </row>
    <row r="14" spans="1:8" x14ac:dyDescent="0.25">
      <c r="A14" s="17">
        <v>2017</v>
      </c>
      <c r="B14" s="10">
        <v>-2.8255757980825028E-2</v>
      </c>
    </row>
    <row r="15" spans="1:8" x14ac:dyDescent="0.25">
      <c r="A15" s="18">
        <v>2018</v>
      </c>
      <c r="B15" s="11">
        <v>1.2899269000039728E-2</v>
      </c>
      <c r="C15" s="11"/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Plan138"/>
  <dimension ref="A1:H17"/>
  <sheetViews>
    <sheetView showGridLines="0" workbookViewId="0">
      <selection activeCell="I27" sqref="I27"/>
    </sheetView>
  </sheetViews>
  <sheetFormatPr defaultRowHeight="15" x14ac:dyDescent="0.25"/>
  <cols>
    <col min="1" max="1" width="19.140625" customWidth="1"/>
    <col min="2" max="2" width="52.140625" bestFit="1" customWidth="1"/>
    <col min="3" max="3" width="16.28515625" customWidth="1"/>
    <col min="4" max="4" width="10.5703125" bestFit="1" customWidth="1"/>
  </cols>
  <sheetData>
    <row r="1" spans="1:8" x14ac:dyDescent="0.25">
      <c r="C1" s="78"/>
      <c r="D1" s="78"/>
      <c r="E1" s="78"/>
      <c r="F1" s="78"/>
      <c r="G1" s="78" t="s">
        <v>405</v>
      </c>
      <c r="H1" s="78" t="s">
        <v>1327</v>
      </c>
    </row>
    <row r="3" spans="1:8" x14ac:dyDescent="0.25">
      <c r="A3" s="350" t="str">
        <f>"Tabela Referente à "&amp;G1</f>
        <v>Tabela Referente à Figura 6.9</v>
      </c>
      <c r="B3" s="350"/>
      <c r="C3" s="350"/>
    </row>
    <row r="4" spans="1:8" ht="16.5" customHeight="1" x14ac:dyDescent="0.25">
      <c r="A4" s="351" t="str">
        <f>H1</f>
        <v>Evolução Do Yield Tarifa Aérea Médio Doméstico Real, 2009 a 2018</v>
      </c>
      <c r="B4" s="351"/>
      <c r="C4" s="351"/>
    </row>
    <row r="5" spans="1:8" x14ac:dyDescent="0.25">
      <c r="A5" s="1" t="s">
        <v>20</v>
      </c>
      <c r="B5" s="21" t="s">
        <v>659</v>
      </c>
      <c r="C5" s="21" t="s">
        <v>543</v>
      </c>
    </row>
    <row r="6" spans="1:8" x14ac:dyDescent="0.25">
      <c r="A6" s="174">
        <v>2009</v>
      </c>
      <c r="B6" s="216">
        <v>0.66278705036199359</v>
      </c>
      <c r="C6" s="216"/>
    </row>
    <row r="7" spans="1:8" x14ac:dyDescent="0.25">
      <c r="A7" s="173">
        <v>2010</v>
      </c>
      <c r="B7" s="217">
        <v>0.49852386871390991</v>
      </c>
      <c r="C7" s="217"/>
    </row>
    <row r="8" spans="1:8" x14ac:dyDescent="0.25">
      <c r="A8" s="174">
        <v>2011</v>
      </c>
      <c r="B8" s="216">
        <v>0.45297829032876391</v>
      </c>
      <c r="C8" s="216">
        <v>0.40151222649749008</v>
      </c>
    </row>
    <row r="9" spans="1:8" x14ac:dyDescent="0.25">
      <c r="A9" s="173">
        <v>2012</v>
      </c>
      <c r="B9" s="217">
        <v>0.45470139589825126</v>
      </c>
      <c r="C9" s="217">
        <v>0.40285151715791567</v>
      </c>
    </row>
    <row r="10" spans="1:8" x14ac:dyDescent="0.25">
      <c r="A10" s="174">
        <v>2013</v>
      </c>
      <c r="B10" s="216">
        <v>0.48316310495407294</v>
      </c>
      <c r="C10" s="216">
        <v>0.41019777341035524</v>
      </c>
    </row>
    <row r="11" spans="1:8" x14ac:dyDescent="0.25">
      <c r="A11" s="173">
        <v>2014</v>
      </c>
      <c r="B11" s="217">
        <v>0.44899803293286816</v>
      </c>
      <c r="C11" s="217">
        <v>0.38913529950575615</v>
      </c>
    </row>
    <row r="12" spans="1:8" x14ac:dyDescent="0.25">
      <c r="A12" s="174">
        <v>2015</v>
      </c>
      <c r="B12" s="216">
        <v>0.38677505336694107</v>
      </c>
      <c r="C12" s="216">
        <v>0.34355799690465066</v>
      </c>
    </row>
    <row r="13" spans="1:8" x14ac:dyDescent="0.25">
      <c r="A13" s="173">
        <v>2016</v>
      </c>
      <c r="B13" s="217">
        <v>0.36696575975952717</v>
      </c>
      <c r="C13" s="217">
        <v>0.3297405376739968</v>
      </c>
    </row>
    <row r="14" spans="1:8" x14ac:dyDescent="0.25">
      <c r="A14" s="174">
        <v>2017</v>
      </c>
      <c r="B14" s="216">
        <v>0.36398755387031784</v>
      </c>
      <c r="C14" s="216">
        <v>0.31949452045271898</v>
      </c>
    </row>
    <row r="15" spans="1:8" x14ac:dyDescent="0.25">
      <c r="A15" s="173">
        <v>2018</v>
      </c>
      <c r="B15" s="217">
        <v>0.35906236880495829</v>
      </c>
      <c r="C15" s="217">
        <v>0.31692554973268178</v>
      </c>
    </row>
    <row r="16" spans="1:8" x14ac:dyDescent="0.25">
      <c r="A16" s="1"/>
      <c r="B16" s="21"/>
      <c r="C16" s="21"/>
      <c r="D16" s="114">
        <f>B15/B6-1</f>
        <v>-0.45825379568166025</v>
      </c>
    </row>
    <row r="17" spans="2:2" x14ac:dyDescent="0.25">
      <c r="B17" s="114">
        <f>B15/B6-1</f>
        <v>-0.45825379568166025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Plan167"/>
  <dimension ref="A1:H16"/>
  <sheetViews>
    <sheetView showGridLines="0" workbookViewId="0">
      <selection activeCell="F4" sqref="F4"/>
    </sheetView>
  </sheetViews>
  <sheetFormatPr defaultRowHeight="15" x14ac:dyDescent="0.25"/>
  <cols>
    <col min="1" max="1" width="12" customWidth="1"/>
    <col min="2" max="2" width="49.28515625" bestFit="1" customWidth="1"/>
    <col min="3" max="3" width="13.85546875" bestFit="1" customWidth="1"/>
  </cols>
  <sheetData>
    <row r="1" spans="1:8" x14ac:dyDescent="0.25">
      <c r="C1" s="78"/>
      <c r="D1" s="78"/>
      <c r="E1" s="78"/>
      <c r="F1" s="78"/>
      <c r="G1" s="78" t="s">
        <v>406</v>
      </c>
      <c r="H1" s="78" t="s">
        <v>1328</v>
      </c>
    </row>
    <row r="3" spans="1:8" x14ac:dyDescent="0.25">
      <c r="A3" s="350" t="str">
        <f>"Tabela Referente à "&amp;G1</f>
        <v>Tabela Referente à Figura 6.10</v>
      </c>
      <c r="B3" s="350"/>
      <c r="C3" s="350"/>
    </row>
    <row r="4" spans="1:8" ht="33" customHeight="1" x14ac:dyDescent="0.25">
      <c r="A4" s="351" t="str">
        <f>H1</f>
        <v>Variação do Yield Tarifa Aérea Médio Doméstica Real com relação ao ano anterior, 2009 a 2018</v>
      </c>
      <c r="B4" s="351"/>
      <c r="C4" s="351"/>
    </row>
    <row r="5" spans="1:8" x14ac:dyDescent="0.25">
      <c r="A5" s="1" t="s">
        <v>20</v>
      </c>
      <c r="B5" s="21" t="s">
        <v>659</v>
      </c>
      <c r="C5" s="21" t="s">
        <v>543</v>
      </c>
    </row>
    <row r="6" spans="1:8" x14ac:dyDescent="0.25">
      <c r="A6" s="18">
        <v>2009</v>
      </c>
      <c r="B6" s="77">
        <v>-0.28096060800739581</v>
      </c>
      <c r="C6" s="77"/>
    </row>
    <row r="7" spans="1:8" x14ac:dyDescent="0.25">
      <c r="A7" s="17">
        <v>2010</v>
      </c>
      <c r="B7" s="76">
        <v>-0.247837041412273</v>
      </c>
      <c r="C7" s="76"/>
    </row>
    <row r="8" spans="1:8" x14ac:dyDescent="0.25">
      <c r="A8" s="18">
        <v>2011</v>
      </c>
      <c r="B8" s="77">
        <v>-9.136087807118308E-2</v>
      </c>
      <c r="C8" s="77">
        <v>-7.1662463108877875E-2</v>
      </c>
    </row>
    <row r="9" spans="1:8" x14ac:dyDescent="0.25">
      <c r="A9" s="17">
        <v>2012</v>
      </c>
      <c r="B9" s="76">
        <v>3.8039473552623198E-3</v>
      </c>
      <c r="C9" s="76">
        <v>3.3356161333083795E-3</v>
      </c>
    </row>
    <row r="10" spans="1:8" x14ac:dyDescent="0.25">
      <c r="A10" s="18">
        <v>2013</v>
      </c>
      <c r="B10" s="77">
        <v>6.2594285640131558E-2</v>
      </c>
      <c r="C10" s="77">
        <v>1.8235642512325134E-2</v>
      </c>
    </row>
    <row r="11" spans="1:8" x14ac:dyDescent="0.25">
      <c r="A11" s="17">
        <v>2014</v>
      </c>
      <c r="B11" s="76">
        <v>-7.0711260174661589E-2</v>
      </c>
      <c r="C11" s="76">
        <v>-5.1347119048178083E-2</v>
      </c>
    </row>
    <row r="12" spans="1:8" x14ac:dyDescent="0.25">
      <c r="A12" s="18">
        <v>2015</v>
      </c>
      <c r="B12" s="77">
        <v>-0.13858185337580387</v>
      </c>
      <c r="C12" s="77">
        <v>-0.11712456479531305</v>
      </c>
    </row>
    <row r="13" spans="1:8" x14ac:dyDescent="0.25">
      <c r="A13" s="17">
        <v>2016</v>
      </c>
      <c r="B13" s="76">
        <v>-5.1216575203004204E-2</v>
      </c>
      <c r="C13" s="76">
        <v>-4.0218709374093504E-2</v>
      </c>
    </row>
    <row r="14" spans="1:8" x14ac:dyDescent="0.25">
      <c r="A14" s="18">
        <v>2017</v>
      </c>
      <c r="B14" s="77">
        <v>-8.1157596042773818E-3</v>
      </c>
      <c r="C14" s="77">
        <v>-3.1072968138990884E-2</v>
      </c>
    </row>
    <row r="15" spans="1:8" x14ac:dyDescent="0.25">
      <c r="A15" s="17">
        <v>2018</v>
      </c>
      <c r="B15" s="76">
        <v>-1.3531190868999614E-2</v>
      </c>
      <c r="C15" s="76">
        <v>-8.0407348345035989E-3</v>
      </c>
    </row>
    <row r="16" spans="1:8" x14ac:dyDescent="0.25">
      <c r="A16" s="1"/>
      <c r="B16" s="21"/>
      <c r="C16" s="2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Plan202"/>
  <dimension ref="A1:H42"/>
  <sheetViews>
    <sheetView showGridLines="0" workbookViewId="0">
      <selection activeCell="E25" sqref="E25"/>
    </sheetView>
  </sheetViews>
  <sheetFormatPr defaultRowHeight="15" x14ac:dyDescent="0.25"/>
  <cols>
    <col min="1" max="1" width="9.42578125" customWidth="1"/>
    <col min="2" max="2" width="9.140625" style="30"/>
    <col min="3" max="3" width="41" bestFit="1" customWidth="1"/>
  </cols>
  <sheetData>
    <row r="1" spans="1:8" x14ac:dyDescent="0.25">
      <c r="C1" s="78"/>
      <c r="D1" s="78"/>
      <c r="E1" s="78"/>
      <c r="F1" s="78"/>
      <c r="G1" s="78" t="s">
        <v>407</v>
      </c>
      <c r="H1" s="78" t="s">
        <v>1329</v>
      </c>
    </row>
    <row r="3" spans="1:8" x14ac:dyDescent="0.25">
      <c r="A3" s="350" t="str">
        <f>"Tabela Referente à "&amp;G1</f>
        <v>Tabela Referente à Figura 6.11</v>
      </c>
      <c r="B3" s="350"/>
      <c r="C3" s="350"/>
    </row>
    <row r="4" spans="1:8" x14ac:dyDescent="0.25">
      <c r="A4" s="351" t="str">
        <f>H1</f>
        <v>Yield Tarifa Aérea Médio Doméstico Real mensal, 2016 a 2018</v>
      </c>
      <c r="B4" s="351"/>
      <c r="C4" s="351"/>
    </row>
    <row r="5" spans="1:8" x14ac:dyDescent="0.25">
      <c r="A5" s="1" t="s">
        <v>20</v>
      </c>
      <c r="B5" s="34" t="s">
        <v>33</v>
      </c>
      <c r="C5" s="21" t="s">
        <v>667</v>
      </c>
    </row>
    <row r="6" spans="1:8" x14ac:dyDescent="0.25">
      <c r="A6" s="286">
        <v>2016</v>
      </c>
      <c r="B6" s="301">
        <v>1</v>
      </c>
      <c r="C6" s="152">
        <v>0.32442095867129223</v>
      </c>
    </row>
    <row r="7" spans="1:8" x14ac:dyDescent="0.25">
      <c r="A7" s="286" t="s">
        <v>369</v>
      </c>
      <c r="B7" s="302">
        <v>2</v>
      </c>
      <c r="C7" s="153">
        <v>0.33009112482160302</v>
      </c>
    </row>
    <row r="8" spans="1:8" x14ac:dyDescent="0.25">
      <c r="A8" s="286" t="s">
        <v>369</v>
      </c>
      <c r="B8" s="301">
        <v>3</v>
      </c>
      <c r="C8" s="152">
        <v>0.32528556892998817</v>
      </c>
    </row>
    <row r="9" spans="1:8" x14ac:dyDescent="0.25">
      <c r="A9" s="286" t="s">
        <v>369</v>
      </c>
      <c r="B9" s="302">
        <v>4</v>
      </c>
      <c r="C9" s="153">
        <v>0.29751561636662432</v>
      </c>
    </row>
    <row r="10" spans="1:8" x14ac:dyDescent="0.25">
      <c r="A10" s="286" t="s">
        <v>369</v>
      </c>
      <c r="B10" s="301">
        <v>5</v>
      </c>
      <c r="C10" s="152">
        <v>0.2974137392012775</v>
      </c>
    </row>
    <row r="11" spans="1:8" x14ac:dyDescent="0.25">
      <c r="A11" s="286" t="s">
        <v>369</v>
      </c>
      <c r="B11" s="302">
        <v>6</v>
      </c>
      <c r="C11" s="153">
        <v>0.30460724179710064</v>
      </c>
    </row>
    <row r="12" spans="1:8" x14ac:dyDescent="0.25">
      <c r="A12" s="286" t="s">
        <v>369</v>
      </c>
      <c r="B12" s="301">
        <v>7</v>
      </c>
      <c r="C12" s="152">
        <v>0.32975594899824434</v>
      </c>
    </row>
    <row r="13" spans="1:8" x14ac:dyDescent="0.25">
      <c r="A13" s="286" t="s">
        <v>369</v>
      </c>
      <c r="B13" s="302">
        <v>8</v>
      </c>
      <c r="C13" s="153">
        <v>0.32982974714982938</v>
      </c>
    </row>
    <row r="14" spans="1:8" x14ac:dyDescent="0.25">
      <c r="A14" s="286" t="s">
        <v>369</v>
      </c>
      <c r="B14" s="301">
        <v>9</v>
      </c>
      <c r="C14" s="152">
        <v>0.36945009908493542</v>
      </c>
    </row>
    <row r="15" spans="1:8" x14ac:dyDescent="0.25">
      <c r="A15" s="286" t="s">
        <v>369</v>
      </c>
      <c r="B15" s="302">
        <v>10</v>
      </c>
      <c r="C15" s="153">
        <v>0.37083481909328603</v>
      </c>
    </row>
    <row r="16" spans="1:8" x14ac:dyDescent="0.25">
      <c r="A16" s="286" t="s">
        <v>369</v>
      </c>
      <c r="B16" s="301">
        <v>11</v>
      </c>
      <c r="C16" s="152">
        <v>0.35574811300057657</v>
      </c>
    </row>
    <row r="17" spans="1:3" x14ac:dyDescent="0.25">
      <c r="A17" s="287" t="s">
        <v>369</v>
      </c>
      <c r="B17" s="302">
        <v>12</v>
      </c>
      <c r="C17" s="153">
        <v>0.33287154005923753</v>
      </c>
    </row>
    <row r="18" spans="1:3" x14ac:dyDescent="0.25">
      <c r="A18" s="298">
        <v>2017</v>
      </c>
      <c r="B18" s="303">
        <v>1</v>
      </c>
      <c r="C18" s="223">
        <v>0.32635067094329379</v>
      </c>
    </row>
    <row r="19" spans="1:3" x14ac:dyDescent="0.25">
      <c r="A19" s="299" t="s">
        <v>369</v>
      </c>
      <c r="B19" s="304">
        <v>2</v>
      </c>
      <c r="C19" s="224">
        <v>0.30006174376665284</v>
      </c>
    </row>
    <row r="20" spans="1:3" x14ac:dyDescent="0.25">
      <c r="A20" s="299" t="s">
        <v>369</v>
      </c>
      <c r="B20" s="305">
        <v>3</v>
      </c>
      <c r="C20" s="225">
        <v>0.28658169436095388</v>
      </c>
    </row>
    <row r="21" spans="1:3" x14ac:dyDescent="0.25">
      <c r="A21" s="299" t="s">
        <v>369</v>
      </c>
      <c r="B21" s="304">
        <v>4</v>
      </c>
      <c r="C21" s="224">
        <v>0.2982481520456971</v>
      </c>
    </row>
    <row r="22" spans="1:3" x14ac:dyDescent="0.25">
      <c r="A22" s="299" t="s">
        <v>369</v>
      </c>
      <c r="B22" s="305">
        <v>5</v>
      </c>
      <c r="C22" s="225">
        <v>0.28772673611585892</v>
      </c>
    </row>
    <row r="23" spans="1:3" x14ac:dyDescent="0.25">
      <c r="A23" s="299" t="s">
        <v>369</v>
      </c>
      <c r="B23" s="304">
        <v>6</v>
      </c>
      <c r="C23" s="224">
        <v>0.29269206709946988</v>
      </c>
    </row>
    <row r="24" spans="1:3" x14ac:dyDescent="0.25">
      <c r="A24" s="299" t="s">
        <v>369</v>
      </c>
      <c r="B24" s="305">
        <v>7</v>
      </c>
      <c r="C24" s="225">
        <v>0.31954254051530728</v>
      </c>
    </row>
    <row r="25" spans="1:3" x14ac:dyDescent="0.25">
      <c r="A25" s="299" t="s">
        <v>369</v>
      </c>
      <c r="B25" s="304">
        <v>8</v>
      </c>
      <c r="C25" s="224">
        <v>0.33507019883872641</v>
      </c>
    </row>
    <row r="26" spans="1:3" x14ac:dyDescent="0.25">
      <c r="A26" s="299" t="s">
        <v>369</v>
      </c>
      <c r="B26" s="305">
        <v>9</v>
      </c>
      <c r="C26" s="225">
        <v>0.33613498787966967</v>
      </c>
    </row>
    <row r="27" spans="1:3" x14ac:dyDescent="0.25">
      <c r="A27" s="299" t="s">
        <v>369</v>
      </c>
      <c r="B27" s="304">
        <v>10</v>
      </c>
      <c r="C27" s="224">
        <v>0.34631569625605124</v>
      </c>
    </row>
    <row r="28" spans="1:3" x14ac:dyDescent="0.25">
      <c r="A28" s="299" t="s">
        <v>369</v>
      </c>
      <c r="B28" s="305">
        <v>11</v>
      </c>
      <c r="C28" s="225">
        <v>0.33472381961793146</v>
      </c>
    </row>
    <row r="29" spans="1:3" x14ac:dyDescent="0.25">
      <c r="A29" s="300" t="s">
        <v>369</v>
      </c>
      <c r="B29" s="304">
        <v>12</v>
      </c>
      <c r="C29" s="224">
        <v>0.37141391616899461</v>
      </c>
    </row>
    <row r="30" spans="1:3" x14ac:dyDescent="0.25">
      <c r="A30" s="291">
        <v>2018</v>
      </c>
      <c r="B30" s="303">
        <v>1</v>
      </c>
      <c r="C30" s="223">
        <v>0.32519834128323016</v>
      </c>
    </row>
    <row r="31" spans="1:3" x14ac:dyDescent="0.25">
      <c r="A31" s="292" t="s">
        <v>369</v>
      </c>
      <c r="B31" s="304">
        <v>2</v>
      </c>
      <c r="C31" s="224">
        <v>0.32147514717773013</v>
      </c>
    </row>
    <row r="32" spans="1:3" x14ac:dyDescent="0.25">
      <c r="A32" s="292" t="s">
        <v>369</v>
      </c>
      <c r="B32" s="305">
        <v>3</v>
      </c>
      <c r="C32" s="225">
        <v>0.31580195489603602</v>
      </c>
    </row>
    <row r="33" spans="1:3" x14ac:dyDescent="0.25">
      <c r="A33" s="292" t="s">
        <v>369</v>
      </c>
      <c r="B33" s="304">
        <v>4</v>
      </c>
      <c r="C33" s="224">
        <v>0.28891037989962781</v>
      </c>
    </row>
    <row r="34" spans="1:3" x14ac:dyDescent="0.25">
      <c r="A34" s="292" t="s">
        <v>369</v>
      </c>
      <c r="B34" s="305">
        <v>5</v>
      </c>
      <c r="C34" s="225">
        <v>0.29327491940612704</v>
      </c>
    </row>
    <row r="35" spans="1:3" x14ac:dyDescent="0.25">
      <c r="A35" s="292" t="s">
        <v>369</v>
      </c>
      <c r="B35" s="304">
        <v>6</v>
      </c>
      <c r="C35" s="224">
        <v>0.2570294882299281</v>
      </c>
    </row>
    <row r="36" spans="1:3" x14ac:dyDescent="0.25">
      <c r="A36" s="292" t="s">
        <v>369</v>
      </c>
      <c r="B36" s="305">
        <v>7</v>
      </c>
      <c r="C36" s="225">
        <v>0.3123041561053661</v>
      </c>
    </row>
    <row r="37" spans="1:3" x14ac:dyDescent="0.25">
      <c r="A37" s="292" t="s">
        <v>369</v>
      </c>
      <c r="B37" s="304">
        <v>8</v>
      </c>
      <c r="C37" s="224">
        <v>0.33392605436149936</v>
      </c>
    </row>
    <row r="38" spans="1:3" x14ac:dyDescent="0.25">
      <c r="A38" s="292" t="s">
        <v>369</v>
      </c>
      <c r="B38" s="305">
        <v>9</v>
      </c>
      <c r="C38" s="225">
        <v>0.32748510603279907</v>
      </c>
    </row>
    <row r="39" spans="1:3" x14ac:dyDescent="0.25">
      <c r="A39" s="292" t="s">
        <v>369</v>
      </c>
      <c r="B39" s="304">
        <v>10</v>
      </c>
      <c r="C39" s="224">
        <v>0.34358908609787375</v>
      </c>
    </row>
    <row r="40" spans="1:3" x14ac:dyDescent="0.25">
      <c r="A40" s="292" t="s">
        <v>369</v>
      </c>
      <c r="B40" s="305">
        <v>11</v>
      </c>
      <c r="C40" s="225">
        <v>0.33919796456465534</v>
      </c>
    </row>
    <row r="41" spans="1:3" x14ac:dyDescent="0.25">
      <c r="A41" s="292" t="s">
        <v>369</v>
      </c>
      <c r="B41" s="304">
        <v>12</v>
      </c>
      <c r="C41" s="224">
        <v>0.3609962306725632</v>
      </c>
    </row>
    <row r="42" spans="1:3" x14ac:dyDescent="0.25">
      <c r="A42" s="1"/>
      <c r="B42" s="34"/>
      <c r="C42" s="2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Plan168"/>
  <dimension ref="A1:H42"/>
  <sheetViews>
    <sheetView showGridLines="0" workbookViewId="0">
      <selection activeCell="A5" sqref="A5:C41"/>
    </sheetView>
  </sheetViews>
  <sheetFormatPr defaultRowHeight="15" x14ac:dyDescent="0.25"/>
  <cols>
    <col min="1" max="1" width="9.42578125" customWidth="1"/>
    <col min="2" max="2" width="9.140625" style="30"/>
    <col min="3" max="3" width="41" bestFit="1" customWidth="1"/>
  </cols>
  <sheetData>
    <row r="1" spans="1:8" x14ac:dyDescent="0.25">
      <c r="C1" s="78"/>
      <c r="D1" s="78"/>
      <c r="E1" s="78"/>
      <c r="F1" s="78"/>
      <c r="G1" s="78" t="s">
        <v>408</v>
      </c>
      <c r="H1" s="78" t="s">
        <v>1330</v>
      </c>
    </row>
    <row r="3" spans="1:8" x14ac:dyDescent="0.25">
      <c r="A3" s="350" t="str">
        <f>"Tabela Referente à "&amp;G1</f>
        <v>Tabela Referente à Figura 6.12</v>
      </c>
      <c r="B3" s="350"/>
      <c r="C3" s="350"/>
    </row>
    <row r="4" spans="1:8" ht="30" customHeight="1" x14ac:dyDescent="0.25">
      <c r="A4" s="351" t="str">
        <f>H1</f>
        <v>Variação do Yield Tarifa Aérea Médio Doméstico Real com relação ao mesmo mês do ano anterior, 2016 a 2018</v>
      </c>
      <c r="B4" s="351"/>
      <c r="C4" s="351"/>
    </row>
    <row r="5" spans="1:8" x14ac:dyDescent="0.25">
      <c r="A5" s="1" t="s">
        <v>20</v>
      </c>
      <c r="B5" s="34" t="s">
        <v>33</v>
      </c>
      <c r="C5" s="21" t="s">
        <v>667</v>
      </c>
    </row>
    <row r="6" spans="1:8" x14ac:dyDescent="0.25">
      <c r="A6" s="286">
        <v>2016</v>
      </c>
      <c r="B6" s="301">
        <v>1</v>
      </c>
      <c r="C6" s="76">
        <v>-4.586530166519457E-2</v>
      </c>
    </row>
    <row r="7" spans="1:8" x14ac:dyDescent="0.25">
      <c r="A7" s="286" t="s">
        <v>369</v>
      </c>
      <c r="B7" s="302">
        <v>2</v>
      </c>
      <c r="C7" s="77">
        <v>3.9240067988961153E-2</v>
      </c>
    </row>
    <row r="8" spans="1:8" x14ac:dyDescent="0.25">
      <c r="A8" s="286" t="s">
        <v>369</v>
      </c>
      <c r="B8" s="301">
        <v>3</v>
      </c>
      <c r="C8" s="76">
        <v>0.11413058637467023</v>
      </c>
    </row>
    <row r="9" spans="1:8" x14ac:dyDescent="0.25">
      <c r="A9" s="286" t="s">
        <v>369</v>
      </c>
      <c r="B9" s="302">
        <v>4</v>
      </c>
      <c r="C9" s="77">
        <v>5.637928663462409E-2</v>
      </c>
    </row>
    <row r="10" spans="1:8" x14ac:dyDescent="0.25">
      <c r="A10" s="286" t="s">
        <v>369</v>
      </c>
      <c r="B10" s="301">
        <v>5</v>
      </c>
      <c r="C10" s="76">
        <v>-5.8099214703960678E-2</v>
      </c>
    </row>
    <row r="11" spans="1:8" x14ac:dyDescent="0.25">
      <c r="A11" s="286" t="s">
        <v>369</v>
      </c>
      <c r="B11" s="302">
        <v>6</v>
      </c>
      <c r="C11" s="77">
        <v>-0.11120077286011511</v>
      </c>
    </row>
    <row r="12" spans="1:8" x14ac:dyDescent="0.25">
      <c r="A12" s="286" t="s">
        <v>369</v>
      </c>
      <c r="B12" s="301">
        <v>7</v>
      </c>
      <c r="C12" s="76">
        <v>-0.11087219044417394</v>
      </c>
    </row>
    <row r="13" spans="1:8" x14ac:dyDescent="0.25">
      <c r="A13" s="286" t="s">
        <v>369</v>
      </c>
      <c r="B13" s="302">
        <v>8</v>
      </c>
      <c r="C13" s="77">
        <v>-0.12292330259765913</v>
      </c>
    </row>
    <row r="14" spans="1:8" x14ac:dyDescent="0.25">
      <c r="A14" s="286" t="s">
        <v>369</v>
      </c>
      <c r="B14" s="301">
        <v>9</v>
      </c>
      <c r="C14" s="76">
        <v>-6.772432915273699E-2</v>
      </c>
    </row>
    <row r="15" spans="1:8" x14ac:dyDescent="0.25">
      <c r="A15" s="286" t="s">
        <v>369</v>
      </c>
      <c r="B15" s="302">
        <v>10</v>
      </c>
      <c r="C15" s="77">
        <v>-8.5706577599128531E-2</v>
      </c>
    </row>
    <row r="16" spans="1:8" x14ac:dyDescent="0.25">
      <c r="A16" s="286" t="s">
        <v>369</v>
      </c>
      <c r="B16" s="301">
        <v>11</v>
      </c>
      <c r="C16" s="76">
        <v>-1.867086477162333E-2</v>
      </c>
    </row>
    <row r="17" spans="1:3" x14ac:dyDescent="0.25">
      <c r="A17" s="287" t="s">
        <v>369</v>
      </c>
      <c r="B17" s="302">
        <v>12</v>
      </c>
      <c r="C17" s="77">
        <v>-8.1721018930313624E-2</v>
      </c>
    </row>
    <row r="18" spans="1:3" x14ac:dyDescent="0.25">
      <c r="A18" s="298">
        <v>2017</v>
      </c>
      <c r="B18" s="303">
        <v>1</v>
      </c>
      <c r="C18" s="83">
        <v>5.9481738784847478E-3</v>
      </c>
    </row>
    <row r="19" spans="1:3" x14ac:dyDescent="0.25">
      <c r="A19" s="299" t="s">
        <v>369</v>
      </c>
      <c r="B19" s="304">
        <v>2</v>
      </c>
      <c r="C19" s="84">
        <v>-9.0973003503743058E-2</v>
      </c>
    </row>
    <row r="20" spans="1:3" x14ac:dyDescent="0.25">
      <c r="A20" s="299" t="s">
        <v>369</v>
      </c>
      <c r="B20" s="305">
        <v>3</v>
      </c>
      <c r="C20" s="85">
        <v>-0.11898429646402359</v>
      </c>
    </row>
    <row r="21" spans="1:3" x14ac:dyDescent="0.25">
      <c r="A21" s="299" t="s">
        <v>369</v>
      </c>
      <c r="B21" s="304">
        <v>4</v>
      </c>
      <c r="C21" s="84">
        <v>2.4621755591144605E-3</v>
      </c>
    </row>
    <row r="22" spans="1:3" x14ac:dyDescent="0.25">
      <c r="A22" s="299" t="s">
        <v>369</v>
      </c>
      <c r="B22" s="305">
        <v>5</v>
      </c>
      <c r="C22" s="85">
        <v>-3.2570798885867273E-2</v>
      </c>
    </row>
    <row r="23" spans="1:3" x14ac:dyDescent="0.25">
      <c r="A23" s="299" t="s">
        <v>369</v>
      </c>
      <c r="B23" s="304">
        <v>6</v>
      </c>
      <c r="C23" s="84">
        <v>-3.9116518134416106E-2</v>
      </c>
    </row>
    <row r="24" spans="1:3" x14ac:dyDescent="0.25">
      <c r="A24" s="299" t="s">
        <v>369</v>
      </c>
      <c r="B24" s="305">
        <v>7</v>
      </c>
      <c r="C24" s="85">
        <v>-3.0972628436163364E-2</v>
      </c>
    </row>
    <row r="25" spans="1:3" x14ac:dyDescent="0.25">
      <c r="A25" s="299" t="s">
        <v>369</v>
      </c>
      <c r="B25" s="304">
        <v>8</v>
      </c>
      <c r="C25" s="84">
        <v>1.5888353716368972E-2</v>
      </c>
    </row>
    <row r="26" spans="1:3" x14ac:dyDescent="0.25">
      <c r="A26" s="299" t="s">
        <v>369</v>
      </c>
      <c r="B26" s="305">
        <v>9</v>
      </c>
      <c r="C26" s="85">
        <v>-9.0174860658534334E-2</v>
      </c>
    </row>
    <row r="27" spans="1:3" x14ac:dyDescent="0.25">
      <c r="A27" s="299" t="s">
        <v>369</v>
      </c>
      <c r="B27" s="304">
        <v>10</v>
      </c>
      <c r="C27" s="84">
        <v>-6.6118718024336415E-2</v>
      </c>
    </row>
    <row r="28" spans="1:3" x14ac:dyDescent="0.25">
      <c r="A28" s="299" t="s">
        <v>369</v>
      </c>
      <c r="B28" s="305">
        <v>11</v>
      </c>
      <c r="C28" s="85">
        <v>-5.9098819120401165E-2</v>
      </c>
    </row>
    <row r="29" spans="1:3" x14ac:dyDescent="0.25">
      <c r="A29" s="300" t="s">
        <v>369</v>
      </c>
      <c r="B29" s="304">
        <v>12</v>
      </c>
      <c r="C29" s="84">
        <v>0.1157875380481555</v>
      </c>
    </row>
    <row r="30" spans="1:3" x14ac:dyDescent="0.25">
      <c r="A30" s="291">
        <v>2018</v>
      </c>
      <c r="B30" s="303">
        <v>1</v>
      </c>
      <c r="C30" s="83">
        <v>-3.5309553883645897E-3</v>
      </c>
    </row>
    <row r="31" spans="1:3" x14ac:dyDescent="0.25">
      <c r="A31" s="292" t="s">
        <v>369</v>
      </c>
      <c r="B31" s="304">
        <v>2</v>
      </c>
      <c r="C31" s="84">
        <v>7.1363323902195644E-2</v>
      </c>
    </row>
    <row r="32" spans="1:3" x14ac:dyDescent="0.25">
      <c r="A32" s="292" t="s">
        <v>369</v>
      </c>
      <c r="B32" s="305">
        <v>3</v>
      </c>
      <c r="C32" s="85">
        <v>0.1019613642812747</v>
      </c>
    </row>
    <row r="33" spans="1:3" x14ac:dyDescent="0.25">
      <c r="A33" s="292" t="s">
        <v>369</v>
      </c>
      <c r="B33" s="304">
        <v>4</v>
      </c>
      <c r="C33" s="84">
        <v>-3.1308734293980039E-2</v>
      </c>
    </row>
    <row r="34" spans="1:3" x14ac:dyDescent="0.25">
      <c r="A34" s="292" t="s">
        <v>369</v>
      </c>
      <c r="B34" s="305">
        <v>5</v>
      </c>
      <c r="C34" s="85">
        <v>1.928282148946367E-2</v>
      </c>
    </row>
    <row r="35" spans="1:3" x14ac:dyDescent="0.25">
      <c r="A35" s="292" t="s">
        <v>369</v>
      </c>
      <c r="B35" s="304">
        <v>6</v>
      </c>
      <c r="C35" s="84">
        <v>-0.12184333939403294</v>
      </c>
    </row>
    <row r="36" spans="1:3" x14ac:dyDescent="0.25">
      <c r="A36" s="292" t="s">
        <v>369</v>
      </c>
      <c r="B36" s="305">
        <v>7</v>
      </c>
      <c r="C36" s="85">
        <v>-2.2652334172058173E-2</v>
      </c>
    </row>
    <row r="37" spans="1:3" x14ac:dyDescent="0.25">
      <c r="A37" s="292" t="s">
        <v>369</v>
      </c>
      <c r="B37" s="304">
        <v>8</v>
      </c>
      <c r="C37" s="84">
        <v>-3.4146411145854864E-3</v>
      </c>
    </row>
    <row r="38" spans="1:3" x14ac:dyDescent="0.25">
      <c r="A38" s="292" t="s">
        <v>369</v>
      </c>
      <c r="B38" s="305">
        <v>9</v>
      </c>
      <c r="C38" s="85">
        <v>-2.5733357605626891E-2</v>
      </c>
    </row>
    <row r="39" spans="1:3" x14ac:dyDescent="0.25">
      <c r="A39" s="292" t="s">
        <v>369</v>
      </c>
      <c r="B39" s="304">
        <v>10</v>
      </c>
      <c r="C39" s="84">
        <v>-7.8731925455713357E-3</v>
      </c>
    </row>
    <row r="40" spans="1:3" x14ac:dyDescent="0.25">
      <c r="A40" s="292" t="s">
        <v>369</v>
      </c>
      <c r="B40" s="305">
        <v>11</v>
      </c>
      <c r="C40" s="85">
        <v>1.3366676299974307E-2</v>
      </c>
    </row>
    <row r="41" spans="1:3" x14ac:dyDescent="0.25">
      <c r="A41" s="292" t="s">
        <v>369</v>
      </c>
      <c r="B41" s="304">
        <v>12</v>
      </c>
      <c r="C41" s="84">
        <v>-2.8048721501569486E-2</v>
      </c>
    </row>
    <row r="42" spans="1:3" x14ac:dyDescent="0.25">
      <c r="A42" s="1"/>
      <c r="B42" s="34"/>
      <c r="C42" s="2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Plan246"/>
  <dimension ref="A1:I68"/>
  <sheetViews>
    <sheetView showGridLines="0" workbookViewId="0">
      <selection activeCell="A5" sqref="A5:C17"/>
    </sheetView>
  </sheetViews>
  <sheetFormatPr defaultRowHeight="15" x14ac:dyDescent="0.25"/>
  <cols>
    <col min="1" max="1" width="14.85546875" customWidth="1"/>
    <col min="2" max="2" width="5.140625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409</v>
      </c>
      <c r="H1" s="78" t="s">
        <v>1331</v>
      </c>
    </row>
    <row r="3" spans="1:8" x14ac:dyDescent="0.25">
      <c r="A3" s="350" t="str">
        <f>"Tabela Referente à "&amp;G1</f>
        <v>Tabela Referente à Figura 6.13</v>
      </c>
      <c r="B3" s="350"/>
      <c r="C3" s="350"/>
    </row>
    <row r="4" spans="1:8" ht="32.25" customHeight="1" x14ac:dyDescent="0.25">
      <c r="A4" s="352" t="str">
        <f>H1</f>
        <v>Yield Tarifa Aérea Doméstica Real médio trimestral, 2016 a 2018</v>
      </c>
      <c r="B4" s="352"/>
      <c r="C4" s="352"/>
    </row>
    <row r="5" spans="1:8" x14ac:dyDescent="0.25">
      <c r="A5" s="1" t="s">
        <v>20</v>
      </c>
      <c r="B5" s="21" t="s">
        <v>33</v>
      </c>
      <c r="C5" s="21" t="s">
        <v>667</v>
      </c>
    </row>
    <row r="6" spans="1:8" x14ac:dyDescent="0.25">
      <c r="A6" s="286">
        <v>2016</v>
      </c>
      <c r="B6" s="76" t="s">
        <v>661</v>
      </c>
      <c r="C6" s="152">
        <v>0.32640357622962946</v>
      </c>
    </row>
    <row r="7" spans="1:8" x14ac:dyDescent="0.25">
      <c r="A7" s="286" t="s">
        <v>369</v>
      </c>
      <c r="B7" s="77" t="s">
        <v>662</v>
      </c>
      <c r="C7" s="153">
        <v>0.2998841959614883</v>
      </c>
    </row>
    <row r="8" spans="1:8" x14ac:dyDescent="0.25">
      <c r="A8" s="286" t="s">
        <v>369</v>
      </c>
      <c r="B8" s="76" t="s">
        <v>663</v>
      </c>
      <c r="C8" s="152">
        <v>0.34206530447884048</v>
      </c>
    </row>
    <row r="9" spans="1:8" x14ac:dyDescent="0.25">
      <c r="A9" s="286" t="s">
        <v>369</v>
      </c>
      <c r="B9" s="77" t="s">
        <v>664</v>
      </c>
      <c r="C9" s="153">
        <v>0.35382984309655846</v>
      </c>
    </row>
    <row r="10" spans="1:8" x14ac:dyDescent="0.25">
      <c r="A10" s="293">
        <v>2017</v>
      </c>
      <c r="B10" s="76" t="s">
        <v>661</v>
      </c>
      <c r="C10" s="152">
        <v>0.30379718284522156</v>
      </c>
    </row>
    <row r="11" spans="1:8" x14ac:dyDescent="0.25">
      <c r="A11" s="293" t="s">
        <v>369</v>
      </c>
      <c r="B11" s="77" t="s">
        <v>662</v>
      </c>
      <c r="C11" s="153">
        <v>0.29265924152960593</v>
      </c>
    </row>
    <row r="12" spans="1:8" x14ac:dyDescent="0.25">
      <c r="A12" s="293" t="s">
        <v>369</v>
      </c>
      <c r="B12" s="76" t="s">
        <v>663</v>
      </c>
      <c r="C12" s="152">
        <v>0.330247147899424</v>
      </c>
    </row>
    <row r="13" spans="1:8" x14ac:dyDescent="0.25">
      <c r="A13" s="293" t="s">
        <v>369</v>
      </c>
      <c r="B13" s="77" t="s">
        <v>664</v>
      </c>
      <c r="C13" s="153">
        <v>0.34908376850795891</v>
      </c>
    </row>
    <row r="14" spans="1:8" x14ac:dyDescent="0.25">
      <c r="A14" s="286">
        <v>2018</v>
      </c>
      <c r="B14" s="76" t="s">
        <v>661</v>
      </c>
      <c r="C14" s="152">
        <v>0.32093138323914305</v>
      </c>
    </row>
    <row r="15" spans="1:8" x14ac:dyDescent="0.25">
      <c r="A15" s="286" t="s">
        <v>369</v>
      </c>
      <c r="B15" s="77" t="s">
        <v>662</v>
      </c>
      <c r="C15" s="153">
        <v>0.27929977463011313</v>
      </c>
    </row>
    <row r="16" spans="1:8" x14ac:dyDescent="0.25">
      <c r="A16" s="286" t="s">
        <v>369</v>
      </c>
      <c r="B16" s="76" t="s">
        <v>663</v>
      </c>
      <c r="C16" s="152">
        <v>0.32445671333302345</v>
      </c>
    </row>
    <row r="17" spans="1:9" x14ac:dyDescent="0.25">
      <c r="A17" s="286" t="s">
        <v>369</v>
      </c>
      <c r="B17" s="77" t="s">
        <v>664</v>
      </c>
      <c r="C17" s="153">
        <v>0.34686224895420803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Plan247"/>
  <dimension ref="A1:I68"/>
  <sheetViews>
    <sheetView showGridLines="0" workbookViewId="0">
      <selection activeCell="A5" sqref="A5:C17"/>
    </sheetView>
  </sheetViews>
  <sheetFormatPr defaultRowHeight="15" x14ac:dyDescent="0.25"/>
  <cols>
    <col min="1" max="1" width="14.85546875" customWidth="1"/>
    <col min="2" max="2" width="5.140625" customWidth="1"/>
    <col min="3" max="3" width="35.5703125" bestFit="1" customWidth="1"/>
  </cols>
  <sheetData>
    <row r="1" spans="1:8" x14ac:dyDescent="0.25">
      <c r="C1" s="78"/>
      <c r="D1" s="78"/>
      <c r="E1" s="78"/>
      <c r="F1" s="78"/>
      <c r="G1" s="78" t="s">
        <v>410</v>
      </c>
      <c r="H1" s="78" t="s">
        <v>1332</v>
      </c>
    </row>
    <row r="3" spans="1:8" x14ac:dyDescent="0.25">
      <c r="A3" s="350" t="str">
        <f>"Tabela Referente à "&amp;G1</f>
        <v>Tabela Referente à Figura 6.14</v>
      </c>
      <c r="B3" s="350"/>
      <c r="C3" s="350"/>
    </row>
    <row r="4" spans="1:8" ht="32.25" customHeight="1" x14ac:dyDescent="0.25">
      <c r="A4" s="352" t="str">
        <f>H1</f>
        <v>Variação do Yield Tarifa Aérea Doméstico Real com relação ao mesmo trimestre do ano anterior, 2016 a 2018</v>
      </c>
      <c r="B4" s="352"/>
      <c r="C4" s="352"/>
    </row>
    <row r="5" spans="1:8" x14ac:dyDescent="0.25">
      <c r="A5" s="1" t="s">
        <v>20</v>
      </c>
      <c r="B5" s="21" t="s">
        <v>33</v>
      </c>
      <c r="C5" s="21" t="s">
        <v>666</v>
      </c>
    </row>
    <row r="6" spans="1:8" x14ac:dyDescent="0.25">
      <c r="A6" s="286">
        <v>2016</v>
      </c>
      <c r="B6" s="76" t="s">
        <v>661</v>
      </c>
      <c r="C6" s="215">
        <v>3.4578617455368686E-2</v>
      </c>
    </row>
    <row r="7" spans="1:8" x14ac:dyDescent="0.25">
      <c r="A7" s="286" t="s">
        <v>369</v>
      </c>
      <c r="B7" s="77" t="s">
        <v>662</v>
      </c>
      <c r="C7" s="214">
        <v>-4.0127428054185448E-2</v>
      </c>
    </row>
    <row r="8" spans="1:8" x14ac:dyDescent="0.25">
      <c r="A8" s="286" t="s">
        <v>369</v>
      </c>
      <c r="B8" s="76" t="s">
        <v>663</v>
      </c>
      <c r="C8" s="215">
        <v>-0.1014321049883584</v>
      </c>
    </row>
    <row r="9" spans="1:8" x14ac:dyDescent="0.25">
      <c r="A9" s="286" t="s">
        <v>369</v>
      </c>
      <c r="B9" s="77" t="s">
        <v>664</v>
      </c>
      <c r="C9" s="214">
        <v>-6.0048477803569283E-2</v>
      </c>
    </row>
    <row r="10" spans="1:8" x14ac:dyDescent="0.25">
      <c r="A10" s="293">
        <v>2017</v>
      </c>
      <c r="B10" s="76" t="s">
        <v>661</v>
      </c>
      <c r="C10" s="215">
        <v>-6.9259024810757547E-2</v>
      </c>
    </row>
    <row r="11" spans="1:8" x14ac:dyDescent="0.25">
      <c r="A11" s="293" t="s">
        <v>369</v>
      </c>
      <c r="B11" s="77" t="s">
        <v>662</v>
      </c>
      <c r="C11" s="214">
        <v>-2.4092481461778038E-2</v>
      </c>
    </row>
    <row r="12" spans="1:8" x14ac:dyDescent="0.25">
      <c r="A12" s="293" t="s">
        <v>369</v>
      </c>
      <c r="B12" s="76" t="s">
        <v>663</v>
      </c>
      <c r="C12" s="215">
        <v>-3.4549416221625398E-2</v>
      </c>
    </row>
    <row r="13" spans="1:8" x14ac:dyDescent="0.25">
      <c r="A13" s="293" t="s">
        <v>369</v>
      </c>
      <c r="B13" s="77" t="s">
        <v>664</v>
      </c>
      <c r="C13" s="214">
        <v>-1.3413437789938951E-2</v>
      </c>
    </row>
    <row r="14" spans="1:8" x14ac:dyDescent="0.25">
      <c r="A14" s="286">
        <v>2018</v>
      </c>
      <c r="B14" s="76" t="s">
        <v>661</v>
      </c>
      <c r="C14" s="215">
        <v>5.6400129301564392E-2</v>
      </c>
    </row>
    <row r="15" spans="1:8" x14ac:dyDescent="0.25">
      <c r="A15" s="286" t="s">
        <v>369</v>
      </c>
      <c r="B15" s="77" t="s">
        <v>662</v>
      </c>
      <c r="C15" s="214">
        <v>-4.5648539337656051E-2</v>
      </c>
    </row>
    <row r="16" spans="1:8" x14ac:dyDescent="0.25">
      <c r="A16" s="286" t="s">
        <v>369</v>
      </c>
      <c r="B16" s="76" t="s">
        <v>663</v>
      </c>
      <c r="C16" s="215">
        <v>-1.7533639891309558E-2</v>
      </c>
    </row>
    <row r="17" spans="1:9" x14ac:dyDescent="0.25">
      <c r="A17" s="286" t="s">
        <v>369</v>
      </c>
      <c r="B17" s="77" t="s">
        <v>664</v>
      </c>
      <c r="C17" s="214">
        <v>-6.3638580597603304E-3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Plan139"/>
  <dimension ref="A1:I22"/>
  <sheetViews>
    <sheetView showGridLines="0" topLeftCell="A7" workbookViewId="0">
      <selection activeCell="E31" sqref="E31"/>
    </sheetView>
  </sheetViews>
  <sheetFormatPr defaultRowHeight="15" x14ac:dyDescent="0.25"/>
  <cols>
    <col min="1" max="1" width="21.5703125" bestFit="1" customWidth="1"/>
    <col min="2" max="2" width="20" bestFit="1" customWidth="1"/>
    <col min="3" max="3" width="52.85546875" bestFit="1" customWidth="1"/>
    <col min="4" max="4" width="19.85546875" bestFit="1" customWidth="1"/>
    <col min="5" max="5" width="52.85546875" bestFit="1" customWidth="1"/>
  </cols>
  <sheetData>
    <row r="1" spans="1:9" x14ac:dyDescent="0.25">
      <c r="D1" s="78"/>
      <c r="E1" s="78"/>
      <c r="F1" s="78"/>
      <c r="G1" s="78" t="s">
        <v>411</v>
      </c>
      <c r="H1" s="78" t="s">
        <v>1333</v>
      </c>
      <c r="I1" s="78"/>
    </row>
    <row r="3" spans="1:9" x14ac:dyDescent="0.25">
      <c r="A3" s="350" t="str">
        <f>"Tabela Referente à "&amp;G1</f>
        <v>Tabela Referente à Figura 6.15</v>
      </c>
      <c r="B3" s="350"/>
      <c r="C3" s="350"/>
      <c r="D3" s="350"/>
      <c r="E3" s="350"/>
    </row>
    <row r="4" spans="1:9" x14ac:dyDescent="0.25">
      <c r="A4" s="351" t="str">
        <f>H1</f>
        <v>Distribuição percentual de assentos comercializados por intervalo de Yield Tarifa Aérea Doméstico Real, 2009 e 2018</v>
      </c>
      <c r="B4" s="351"/>
      <c r="C4" s="351"/>
      <c r="D4" s="351"/>
      <c r="E4" s="351"/>
    </row>
    <row r="5" spans="1:9" x14ac:dyDescent="0.25">
      <c r="A5" s="1" t="s">
        <v>686</v>
      </c>
      <c r="B5" s="21" t="s">
        <v>821</v>
      </c>
      <c r="C5" s="1" t="s">
        <v>822</v>
      </c>
      <c r="D5" s="163" t="s">
        <v>669</v>
      </c>
      <c r="E5" s="163" t="s">
        <v>823</v>
      </c>
    </row>
    <row r="6" spans="1:9" x14ac:dyDescent="0.25">
      <c r="A6" s="17" t="s">
        <v>687</v>
      </c>
      <c r="B6" s="76">
        <v>4.2090110095942546E-2</v>
      </c>
      <c r="C6" s="76">
        <v>4.154178725346E-2</v>
      </c>
      <c r="D6" s="76">
        <v>3.4715584643772703E-2</v>
      </c>
      <c r="E6" s="76">
        <v>1.0665384064601755E-3</v>
      </c>
    </row>
    <row r="7" spans="1:9" x14ac:dyDescent="0.25">
      <c r="A7" s="18" t="s">
        <v>688</v>
      </c>
      <c r="B7" s="77">
        <v>0.28360206585813696</v>
      </c>
      <c r="C7" s="77">
        <v>0.25736991653688368</v>
      </c>
      <c r="D7" s="77">
        <v>0.26739714035682671</v>
      </c>
      <c r="E7" s="77">
        <v>4.1023998991345366E-2</v>
      </c>
    </row>
    <row r="8" spans="1:9" x14ac:dyDescent="0.25">
      <c r="A8" s="17" t="s">
        <v>689</v>
      </c>
      <c r="B8" s="76">
        <v>0.23229018862296585</v>
      </c>
      <c r="C8" s="76">
        <v>0.2149045314942547</v>
      </c>
      <c r="D8" s="76">
        <v>0.23722937378594985</v>
      </c>
      <c r="E8" s="76">
        <v>0.10093799352568156</v>
      </c>
    </row>
    <row r="9" spans="1:9" x14ac:dyDescent="0.25">
      <c r="A9" s="18" t="s">
        <v>690</v>
      </c>
      <c r="B9" s="77">
        <v>0.13596485144011863</v>
      </c>
      <c r="C9" s="77">
        <v>0.14308111946101379</v>
      </c>
      <c r="D9" s="77">
        <v>0.14802107383755428</v>
      </c>
      <c r="E9" s="77">
        <v>0.13457811910087317</v>
      </c>
    </row>
    <row r="10" spans="1:9" x14ac:dyDescent="0.25">
      <c r="A10" s="17" t="s">
        <v>691</v>
      </c>
      <c r="B10" s="76">
        <v>8.0197749436090371E-2</v>
      </c>
      <c r="C10" s="76">
        <v>8.1210891897910933E-2</v>
      </c>
      <c r="D10" s="76">
        <v>8.2685992955712384E-2</v>
      </c>
      <c r="E10" s="76">
        <v>9.8129784822957547E-2</v>
      </c>
    </row>
    <row r="11" spans="1:9" x14ac:dyDescent="0.25">
      <c r="A11" s="18" t="s">
        <v>692</v>
      </c>
      <c r="B11" s="77">
        <v>5.1401329195253156E-2</v>
      </c>
      <c r="C11" s="77">
        <v>5.433631503443858E-2</v>
      </c>
      <c r="D11" s="77">
        <v>5.5034017523991695E-2</v>
      </c>
      <c r="E11" s="77">
        <v>7.708076172403204E-2</v>
      </c>
    </row>
    <row r="12" spans="1:9" x14ac:dyDescent="0.25">
      <c r="A12" s="17" t="s">
        <v>693</v>
      </c>
      <c r="B12" s="76">
        <v>3.5812581093615799E-2</v>
      </c>
      <c r="C12" s="76">
        <v>3.8981914418389413E-2</v>
      </c>
      <c r="D12" s="76">
        <v>3.7497830199979584E-2</v>
      </c>
      <c r="E12" s="76">
        <v>6.5914515942110785E-2</v>
      </c>
    </row>
    <row r="13" spans="1:9" x14ac:dyDescent="0.25">
      <c r="A13" s="18" t="s">
        <v>694</v>
      </c>
      <c r="B13" s="77">
        <v>2.6988378221418679E-2</v>
      </c>
      <c r="C13" s="77">
        <v>2.9995241141471982E-2</v>
      </c>
      <c r="D13" s="77">
        <v>2.7810764313560631E-2</v>
      </c>
      <c r="E13" s="77">
        <v>7.7809404128445531E-2</v>
      </c>
    </row>
    <row r="14" spans="1:9" x14ac:dyDescent="0.25">
      <c r="A14" s="17" t="s">
        <v>695</v>
      </c>
      <c r="B14" s="76">
        <v>2.1436390538800049E-2</v>
      </c>
      <c r="C14" s="76">
        <v>2.5825424740982292E-2</v>
      </c>
      <c r="D14" s="76">
        <v>2.1803518895088039E-2</v>
      </c>
      <c r="E14" s="76">
        <v>5.0677015278386493E-2</v>
      </c>
    </row>
    <row r="15" spans="1:9" x14ac:dyDescent="0.25">
      <c r="A15" s="18" t="s">
        <v>696</v>
      </c>
      <c r="B15" s="77">
        <v>1.5889453215264648E-2</v>
      </c>
      <c r="C15" s="77">
        <v>1.8103391824789254E-2</v>
      </c>
      <c r="D15" s="77">
        <v>1.6613393458079127E-2</v>
      </c>
      <c r="E15" s="77">
        <v>5.4247655985728657E-2</v>
      </c>
    </row>
    <row r="16" spans="1:9" x14ac:dyDescent="0.25">
      <c r="A16" s="17" t="s">
        <v>697</v>
      </c>
      <c r="B16" s="76">
        <v>1.3374239715576705E-2</v>
      </c>
      <c r="C16" s="76">
        <v>1.7339471818138059E-2</v>
      </c>
      <c r="D16" s="76">
        <v>1.2977078919315823E-2</v>
      </c>
      <c r="E16" s="76">
        <v>4.4034326438150778E-2</v>
      </c>
    </row>
    <row r="17" spans="1:5" x14ac:dyDescent="0.25">
      <c r="A17" s="18" t="s">
        <v>698</v>
      </c>
      <c r="B17" s="77">
        <v>1.0582253070503847E-2</v>
      </c>
      <c r="C17" s="77">
        <v>1.3119180349376524E-2</v>
      </c>
      <c r="D17" s="77">
        <v>1.2008865070240477E-2</v>
      </c>
      <c r="E17" s="77">
        <v>2.8226734570973362E-2</v>
      </c>
    </row>
    <row r="18" spans="1:5" x14ac:dyDescent="0.25">
      <c r="A18" s="17" t="s">
        <v>699</v>
      </c>
      <c r="B18" s="76">
        <v>8.4455336819490717E-3</v>
      </c>
      <c r="C18" s="76">
        <v>1.0601414852628539E-2</v>
      </c>
      <c r="D18" s="76">
        <v>8.424191189987263E-3</v>
      </c>
      <c r="E18" s="76">
        <v>2.4087900488760996E-2</v>
      </c>
    </row>
    <row r="19" spans="1:5" x14ac:dyDescent="0.25">
      <c r="A19" s="18" t="s">
        <v>700</v>
      </c>
      <c r="B19" s="77">
        <v>6.7936352977596096E-3</v>
      </c>
      <c r="C19" s="77">
        <v>7.9623556556987739E-3</v>
      </c>
      <c r="D19" s="77">
        <v>6.9574956124839465E-3</v>
      </c>
      <c r="E19" s="77">
        <v>2.5394926782392128E-2</v>
      </c>
    </row>
    <row r="20" spans="1:5" x14ac:dyDescent="0.25">
      <c r="A20" s="17" t="s">
        <v>701</v>
      </c>
      <c r="B20" s="76">
        <v>5.7687221592221723E-3</v>
      </c>
      <c r="C20" s="76">
        <v>7.4219461604901433E-3</v>
      </c>
      <c r="D20" s="76">
        <v>5.3016449457323027E-3</v>
      </c>
      <c r="E20" s="76">
        <v>1.7563908449244246E-2</v>
      </c>
    </row>
    <row r="21" spans="1:5" x14ac:dyDescent="0.25">
      <c r="A21" s="18" t="s">
        <v>702</v>
      </c>
      <c r="B21" s="77">
        <v>2.9362518357381885E-2</v>
      </c>
      <c r="C21" s="77">
        <v>3.8205097360073326E-2</v>
      </c>
      <c r="D21" s="77">
        <v>2.5522034291725153E-2</v>
      </c>
      <c r="E21" s="77">
        <v>0.15922641536445714</v>
      </c>
    </row>
    <row r="22" spans="1:5" x14ac:dyDescent="0.25">
      <c r="A22" s="1"/>
      <c r="B22" s="21"/>
      <c r="C22" s="21"/>
      <c r="D22" s="1"/>
      <c r="E22" s="21"/>
    </row>
  </sheetData>
  <mergeCells count="2">
    <mergeCell ref="A3:E3"/>
    <mergeCell ref="A4:E4"/>
  </mergeCells>
  <pageMargins left="0.511811024" right="0.511811024" top="0.78740157499999996" bottom="0.78740157499999996" header="0.31496062000000002" footer="0.31496062000000002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Plan206"/>
  <dimension ref="A1:H17"/>
  <sheetViews>
    <sheetView showGridLines="0" workbookViewId="0">
      <selection activeCell="A5" sqref="A5:E8"/>
    </sheetView>
  </sheetViews>
  <sheetFormatPr defaultRowHeight="15" x14ac:dyDescent="0.25"/>
  <cols>
    <col min="1" max="1" width="19.140625" customWidth="1"/>
    <col min="2" max="5" width="14.5703125" customWidth="1"/>
  </cols>
  <sheetData>
    <row r="1" spans="1:8" x14ac:dyDescent="0.25">
      <c r="C1" s="78"/>
      <c r="D1" s="78"/>
      <c r="E1" s="78"/>
      <c r="F1" s="78"/>
      <c r="G1" s="78" t="s">
        <v>412</v>
      </c>
      <c r="H1" s="78" t="s">
        <v>1334</v>
      </c>
    </row>
    <row r="3" spans="1:8" x14ac:dyDescent="0.25">
      <c r="A3" s="350" t="str">
        <f>"Tabela Referente à "&amp;G1</f>
        <v>Tabela Referente à Figura 6.16</v>
      </c>
      <c r="B3" s="350"/>
      <c r="C3" s="350"/>
      <c r="D3" s="350"/>
      <c r="E3" s="350"/>
    </row>
    <row r="4" spans="1:8" ht="16.5" customHeight="1" x14ac:dyDescent="0.25">
      <c r="A4" s="351" t="str">
        <f>H1</f>
        <v>Evolução da Tarifa Aérea Média Doméstica Real por empresa, 2015 a 2018</v>
      </c>
      <c r="B4" s="351"/>
      <c r="C4" s="351"/>
      <c r="D4" s="351"/>
      <c r="E4" s="351"/>
    </row>
    <row r="5" spans="1:8" x14ac:dyDescent="0.25">
      <c r="A5" s="1" t="s">
        <v>20</v>
      </c>
      <c r="B5" s="21" t="s">
        <v>526</v>
      </c>
      <c r="C5" s="21" t="s">
        <v>59</v>
      </c>
      <c r="D5" s="21" t="s">
        <v>61</v>
      </c>
      <c r="E5" s="21" t="s">
        <v>60</v>
      </c>
    </row>
    <row r="6" spans="1:8" x14ac:dyDescent="0.25">
      <c r="A6" s="174">
        <v>2016</v>
      </c>
      <c r="B6" s="208">
        <v>353.77225575326054</v>
      </c>
      <c r="C6" s="208">
        <v>338.10506631056847</v>
      </c>
      <c r="D6" s="208">
        <v>373.4925023666641</v>
      </c>
      <c r="E6" s="208">
        <v>437.15150369170925</v>
      </c>
    </row>
    <row r="7" spans="1:8" x14ac:dyDescent="0.25">
      <c r="A7" s="173">
        <v>2017</v>
      </c>
      <c r="B7" s="207">
        <v>328.01651803314337</v>
      </c>
      <c r="C7" s="207">
        <v>360.34762798419263</v>
      </c>
      <c r="D7" s="207">
        <v>372.2161969733221</v>
      </c>
      <c r="E7" s="207">
        <v>427.66529632520667</v>
      </c>
    </row>
    <row r="8" spans="1:8" x14ac:dyDescent="0.25">
      <c r="A8" s="174">
        <v>2018</v>
      </c>
      <c r="B8" s="208">
        <v>325.52267093363605</v>
      </c>
      <c r="C8" s="208">
        <v>347.56128546732123</v>
      </c>
      <c r="D8" s="208">
        <v>387.88177721914576</v>
      </c>
      <c r="E8" s="208">
        <v>457.61461413128478</v>
      </c>
    </row>
    <row r="17" spans="2:2" x14ac:dyDescent="0.25">
      <c r="B17" s="114"/>
    </row>
  </sheetData>
  <mergeCells count="2">
    <mergeCell ref="A4:E4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Plan209"/>
  <dimension ref="A1:H17"/>
  <sheetViews>
    <sheetView showGridLines="0" workbookViewId="0">
      <selection activeCell="A5" sqref="A5:E8"/>
    </sheetView>
  </sheetViews>
  <sheetFormatPr defaultRowHeight="15" x14ac:dyDescent="0.25"/>
  <cols>
    <col min="1" max="1" width="19.140625" customWidth="1"/>
    <col min="2" max="5" width="12.42578125" customWidth="1"/>
  </cols>
  <sheetData>
    <row r="1" spans="1:8" x14ac:dyDescent="0.25">
      <c r="C1" s="78"/>
      <c r="D1" s="78"/>
      <c r="E1" s="78"/>
      <c r="F1" s="78"/>
      <c r="G1" s="78" t="s">
        <v>1335</v>
      </c>
      <c r="H1" s="78" t="s">
        <v>1336</v>
      </c>
    </row>
    <row r="3" spans="1:8" x14ac:dyDescent="0.25">
      <c r="A3" s="350" t="str">
        <f>"Tabela Referente à "&amp;G1</f>
        <v>Tabela Referente à Figura 6.17</v>
      </c>
      <c r="B3" s="350"/>
      <c r="C3" s="350"/>
      <c r="D3" s="350"/>
      <c r="E3" s="350"/>
    </row>
    <row r="4" spans="1:8" ht="16.5" customHeight="1" x14ac:dyDescent="0.25">
      <c r="A4" s="351" t="str">
        <f>H1</f>
        <v>Variação da Tarifa Aérea Média Doméstica Real por empresa, 2015 a 2018</v>
      </c>
      <c r="B4" s="351"/>
      <c r="C4" s="351"/>
      <c r="D4" s="351"/>
      <c r="E4" s="351"/>
    </row>
    <row r="5" spans="1:8" x14ac:dyDescent="0.25">
      <c r="A5" s="1" t="s">
        <v>20</v>
      </c>
      <c r="B5" s="21" t="s">
        <v>59</v>
      </c>
      <c r="C5" s="21" t="s">
        <v>526</v>
      </c>
      <c r="D5" s="21" t="s">
        <v>60</v>
      </c>
      <c r="E5" s="21" t="s">
        <v>61</v>
      </c>
    </row>
    <row r="6" spans="1:8" x14ac:dyDescent="0.25">
      <c r="A6" s="174">
        <v>2016</v>
      </c>
      <c r="B6" s="77">
        <v>3.9201757777514161E-2</v>
      </c>
      <c r="C6" s="77">
        <v>-7.3367640240184204E-2</v>
      </c>
      <c r="D6" s="77">
        <v>4.8395579649362364E-3</v>
      </c>
      <c r="E6" s="77">
        <v>-0.10535648581648641</v>
      </c>
    </row>
    <row r="7" spans="1:8" x14ac:dyDescent="0.25">
      <c r="A7" s="173">
        <v>2017</v>
      </c>
      <c r="B7" s="76">
        <v>6.5785946115321181E-2</v>
      </c>
      <c r="C7" s="76">
        <v>-7.2803158815485464E-2</v>
      </c>
      <c r="D7" s="76">
        <v>-2.170004514771727E-2</v>
      </c>
      <c r="E7" s="76">
        <v>-3.417218244689229E-3</v>
      </c>
    </row>
    <row r="8" spans="1:8" x14ac:dyDescent="0.25">
      <c r="A8" s="174">
        <v>2018</v>
      </c>
      <c r="B8" s="77">
        <v>-3.5483354194390034E-2</v>
      </c>
      <c r="C8" s="77">
        <v>-7.6028095001463847E-3</v>
      </c>
      <c r="D8" s="77">
        <v>7.0029806167166656E-2</v>
      </c>
      <c r="E8" s="77">
        <v>4.2087314773533252E-2</v>
      </c>
    </row>
    <row r="17" spans="2:2" x14ac:dyDescent="0.25">
      <c r="B17" s="114"/>
    </row>
  </sheetData>
  <mergeCells count="2"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Plan227"/>
  <dimension ref="A1:I68"/>
  <sheetViews>
    <sheetView showGridLines="0" workbookViewId="0">
      <selection activeCell="J4" sqref="J4"/>
    </sheetView>
  </sheetViews>
  <sheetFormatPr defaultRowHeight="15" x14ac:dyDescent="0.25"/>
  <cols>
    <col min="1" max="1" width="14.85546875" customWidth="1"/>
    <col min="2" max="2" width="9.5703125" bestFit="1" customWidth="1"/>
    <col min="3" max="3" width="8" bestFit="1" customWidth="1"/>
  </cols>
  <sheetData>
    <row r="1" spans="1:8" x14ac:dyDescent="0.25">
      <c r="C1" s="78"/>
      <c r="D1" s="78"/>
      <c r="E1" s="78"/>
      <c r="F1" s="78"/>
      <c r="G1" s="78" t="s">
        <v>1337</v>
      </c>
      <c r="H1" s="78" t="s">
        <v>1338</v>
      </c>
    </row>
    <row r="3" spans="1:8" x14ac:dyDescent="0.25">
      <c r="A3" s="350" t="str">
        <f>"Tabela Referente à "&amp;G1</f>
        <v>Tabela Referente à Figura 6.18</v>
      </c>
      <c r="B3" s="350"/>
      <c r="C3" s="350"/>
      <c r="D3" s="350"/>
      <c r="E3" s="350"/>
      <c r="F3" s="350"/>
    </row>
    <row r="4" spans="1:8" ht="32.25" customHeight="1" x14ac:dyDescent="0.25">
      <c r="A4" s="352" t="str">
        <f>H1</f>
        <v>Tarifa Aérea Média Doméstica Real média trimestral por empresa, 2015 a 2018</v>
      </c>
      <c r="B4" s="352"/>
      <c r="C4" s="352"/>
      <c r="D4" s="352"/>
      <c r="E4" s="352"/>
      <c r="F4" s="352"/>
    </row>
    <row r="5" spans="1:8" x14ac:dyDescent="0.25">
      <c r="A5" s="1" t="s">
        <v>20</v>
      </c>
      <c r="B5" s="21" t="s">
        <v>820</v>
      </c>
      <c r="C5" s="21" t="s">
        <v>526</v>
      </c>
      <c r="D5" s="21" t="s">
        <v>59</v>
      </c>
      <c r="E5" s="21" t="s">
        <v>61</v>
      </c>
      <c r="F5" s="21" t="s">
        <v>60</v>
      </c>
    </row>
    <row r="6" spans="1:8" x14ac:dyDescent="0.25">
      <c r="A6" s="286">
        <v>2016</v>
      </c>
      <c r="B6" s="76" t="s">
        <v>661</v>
      </c>
      <c r="C6" s="218">
        <v>332.33698281557133</v>
      </c>
      <c r="D6" s="218">
        <v>334.99383030489531</v>
      </c>
      <c r="E6" s="218">
        <v>378.9831330695074</v>
      </c>
      <c r="F6" s="218">
        <v>430.9688636595377</v>
      </c>
    </row>
    <row r="7" spans="1:8" x14ac:dyDescent="0.25">
      <c r="A7" s="286" t="s">
        <v>369</v>
      </c>
      <c r="B7" s="77" t="s">
        <v>662</v>
      </c>
      <c r="C7" s="219">
        <v>321.80185523352679</v>
      </c>
      <c r="D7" s="219">
        <v>295.72574374597735</v>
      </c>
      <c r="E7" s="219">
        <v>334.52044109818792</v>
      </c>
      <c r="F7" s="219">
        <v>432.47969875586415</v>
      </c>
    </row>
    <row r="8" spans="1:8" x14ac:dyDescent="0.25">
      <c r="A8" s="286" t="s">
        <v>369</v>
      </c>
      <c r="B8" s="76" t="s">
        <v>663</v>
      </c>
      <c r="C8" s="218">
        <v>373.05040781299277</v>
      </c>
      <c r="D8" s="218">
        <v>338.27884284209688</v>
      </c>
      <c r="E8" s="218">
        <v>367.02745188655553</v>
      </c>
      <c r="F8" s="218">
        <v>447.9217271180126</v>
      </c>
    </row>
    <row r="9" spans="1:8" x14ac:dyDescent="0.25">
      <c r="A9" s="286" t="s">
        <v>369</v>
      </c>
      <c r="B9" s="77" t="s">
        <v>664</v>
      </c>
      <c r="C9" s="219">
        <v>402.29284653164757</v>
      </c>
      <c r="D9" s="219">
        <v>400.35707196463767</v>
      </c>
      <c r="E9" s="219">
        <v>410.23343990163255</v>
      </c>
      <c r="F9" s="219">
        <v>437.49875161581775</v>
      </c>
    </row>
    <row r="10" spans="1:8" x14ac:dyDescent="0.25">
      <c r="A10" s="293">
        <v>2017</v>
      </c>
      <c r="B10" s="76" t="s">
        <v>661</v>
      </c>
      <c r="C10" s="218">
        <v>298.1177036516325</v>
      </c>
      <c r="D10" s="218">
        <v>337.67210076407713</v>
      </c>
      <c r="E10" s="218">
        <v>353.29972106910594</v>
      </c>
      <c r="F10" s="218">
        <v>393.2715450219286</v>
      </c>
    </row>
    <row r="11" spans="1:8" x14ac:dyDescent="0.25">
      <c r="A11" s="293" t="s">
        <v>369</v>
      </c>
      <c r="B11" s="77" t="s">
        <v>662</v>
      </c>
      <c r="C11" s="219">
        <v>294.22454305829683</v>
      </c>
      <c r="D11" s="219">
        <v>331.01029534205173</v>
      </c>
      <c r="E11" s="219">
        <v>342.02719010075867</v>
      </c>
      <c r="F11" s="219">
        <v>394.38788748555089</v>
      </c>
    </row>
    <row r="12" spans="1:8" x14ac:dyDescent="0.25">
      <c r="A12" s="293" t="s">
        <v>369</v>
      </c>
      <c r="B12" s="76" t="s">
        <v>663</v>
      </c>
      <c r="C12" s="218">
        <v>345.71116095840824</v>
      </c>
      <c r="D12" s="218">
        <v>369.31158903177209</v>
      </c>
      <c r="E12" s="218">
        <v>363.31653781765647</v>
      </c>
      <c r="F12" s="218">
        <v>439.64860263249744</v>
      </c>
    </row>
    <row r="13" spans="1:8" x14ac:dyDescent="0.25">
      <c r="A13" s="293" t="s">
        <v>369</v>
      </c>
      <c r="B13" s="77" t="s">
        <v>664</v>
      </c>
      <c r="C13" s="219">
        <v>374.69967876278156</v>
      </c>
      <c r="D13" s="219">
        <v>396.20331253718831</v>
      </c>
      <c r="E13" s="219">
        <v>434.29124695908178</v>
      </c>
      <c r="F13" s="219">
        <v>488.50757140692804</v>
      </c>
    </row>
    <row r="14" spans="1:8" x14ac:dyDescent="0.25">
      <c r="A14" s="286">
        <v>2018</v>
      </c>
      <c r="B14" s="76" t="s">
        <v>661</v>
      </c>
      <c r="C14" s="218">
        <v>314.16211390543657</v>
      </c>
      <c r="D14" s="218">
        <v>357.31181003682934</v>
      </c>
      <c r="E14" s="218">
        <v>378.75311443928183</v>
      </c>
      <c r="F14" s="218">
        <v>445.58500566684495</v>
      </c>
    </row>
    <row r="15" spans="1:8" x14ac:dyDescent="0.25">
      <c r="A15" s="286" t="s">
        <v>369</v>
      </c>
      <c r="B15" s="77" t="s">
        <v>662</v>
      </c>
      <c r="C15" s="219">
        <v>282.24635973898916</v>
      </c>
      <c r="D15" s="219">
        <v>300.21346236701334</v>
      </c>
      <c r="E15" s="219">
        <v>323.82326581078189</v>
      </c>
      <c r="F15" s="219">
        <v>410.02579916631692</v>
      </c>
    </row>
    <row r="16" spans="1:8" x14ac:dyDescent="0.25">
      <c r="A16" s="286" t="s">
        <v>369</v>
      </c>
      <c r="B16" s="76" t="s">
        <v>663</v>
      </c>
      <c r="C16" s="218">
        <v>318.07784793721777</v>
      </c>
      <c r="D16" s="218">
        <v>354.59229392752866</v>
      </c>
      <c r="E16" s="218">
        <v>423.2514788847572</v>
      </c>
      <c r="F16" s="218">
        <v>473.25499831641162</v>
      </c>
    </row>
    <row r="17" spans="1:9" x14ac:dyDescent="0.25">
      <c r="A17" s="286" t="s">
        <v>369</v>
      </c>
      <c r="B17" s="77" t="s">
        <v>664</v>
      </c>
      <c r="C17" s="219">
        <v>390.93082017185736</v>
      </c>
      <c r="D17" s="219">
        <v>387.9274314561614</v>
      </c>
      <c r="E17" s="219">
        <v>466.00388392914863</v>
      </c>
      <c r="F17" s="219">
        <v>505.54195218300447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4:F4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9"/>
  <dimension ref="A1:H20"/>
  <sheetViews>
    <sheetView showGridLines="0" workbookViewId="0">
      <selection activeCell="A5" sqref="A5:B17"/>
    </sheetView>
  </sheetViews>
  <sheetFormatPr defaultRowHeight="15" x14ac:dyDescent="0.25"/>
  <cols>
    <col min="1" max="1" width="9.28515625" customWidth="1"/>
    <col min="2" max="2" width="49.140625" customWidth="1"/>
  </cols>
  <sheetData>
    <row r="1" spans="1:8" x14ac:dyDescent="0.25">
      <c r="C1" s="78"/>
      <c r="D1" s="78"/>
      <c r="E1" s="78"/>
      <c r="F1" s="78"/>
      <c r="G1" s="78" t="s">
        <v>251</v>
      </c>
      <c r="H1" s="78" t="s">
        <v>1136</v>
      </c>
    </row>
    <row r="3" spans="1:8" x14ac:dyDescent="0.25">
      <c r="A3" s="350" t="str">
        <f>"Tabela Referente à "&amp;G1</f>
        <v>Tabela Referente à Figura 2.6</v>
      </c>
      <c r="B3" s="350"/>
    </row>
    <row r="4" spans="1:8" ht="31.5" customHeight="1" x14ac:dyDescent="0.25">
      <c r="A4" s="351" t="str">
        <f>H1</f>
        <v>Variação na quantidade de voos com relação ao mesmo mês do ano anterior – mercado doméstico,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2.5386912842791202E-3</v>
      </c>
      <c r="C6" s="78">
        <v>1</v>
      </c>
    </row>
    <row r="7" spans="1:8" x14ac:dyDescent="0.25">
      <c r="A7" s="18" t="s">
        <v>48</v>
      </c>
      <c r="B7" s="11">
        <v>-8.4207798937686233E-4</v>
      </c>
      <c r="C7" s="78">
        <v>2</v>
      </c>
    </row>
    <row r="8" spans="1:8" x14ac:dyDescent="0.25">
      <c r="A8" s="17" t="s">
        <v>49</v>
      </c>
      <c r="B8" s="10">
        <v>-2.8115971194066322E-2</v>
      </c>
      <c r="C8" s="78">
        <v>3</v>
      </c>
    </row>
    <row r="9" spans="1:8" x14ac:dyDescent="0.25">
      <c r="A9" s="18" t="s">
        <v>50</v>
      </c>
      <c r="B9" s="11">
        <v>4.694910908857839E-2</v>
      </c>
      <c r="C9" s="78">
        <v>4</v>
      </c>
    </row>
    <row r="10" spans="1:8" x14ac:dyDescent="0.25">
      <c r="A10" s="17" t="s">
        <v>51</v>
      </c>
      <c r="B10" s="10">
        <v>2.4736944807192927E-2</v>
      </c>
      <c r="C10" s="78">
        <v>5</v>
      </c>
    </row>
    <row r="11" spans="1:8" x14ac:dyDescent="0.25">
      <c r="A11" s="18" t="s">
        <v>52</v>
      </c>
      <c r="B11" s="11">
        <v>3.7671069572266465E-2</v>
      </c>
      <c r="C11" s="78">
        <v>6</v>
      </c>
    </row>
    <row r="12" spans="1:8" x14ac:dyDescent="0.25">
      <c r="A12" s="17" t="s">
        <v>53</v>
      </c>
      <c r="B12" s="10">
        <v>4.0729603433427922E-2</v>
      </c>
      <c r="C12" s="78">
        <v>7</v>
      </c>
    </row>
    <row r="13" spans="1:8" x14ac:dyDescent="0.25">
      <c r="A13" s="18" t="s">
        <v>54</v>
      </c>
      <c r="B13" s="11">
        <v>1.5751389828514279E-2</v>
      </c>
      <c r="C13" s="78">
        <v>8</v>
      </c>
    </row>
    <row r="14" spans="1:8" x14ac:dyDescent="0.25">
      <c r="A14" s="17" t="s">
        <v>55</v>
      </c>
      <c r="B14" s="10">
        <v>1.1509381982919587E-2</v>
      </c>
      <c r="C14" s="78">
        <v>9</v>
      </c>
    </row>
    <row r="15" spans="1:8" x14ac:dyDescent="0.25">
      <c r="A15" s="18" t="s">
        <v>56</v>
      </c>
      <c r="B15" s="11">
        <v>2.0717143324558665E-2</v>
      </c>
      <c r="C15" s="78">
        <v>10</v>
      </c>
    </row>
    <row r="16" spans="1:8" x14ac:dyDescent="0.25">
      <c r="A16" s="17" t="s">
        <v>57</v>
      </c>
      <c r="B16" s="10">
        <v>-8.8097697308463455E-3</v>
      </c>
      <c r="C16" s="78">
        <v>11</v>
      </c>
    </row>
    <row r="17" spans="1:3" x14ac:dyDescent="0.25">
      <c r="A17" s="18" t="s">
        <v>58</v>
      </c>
      <c r="B17" s="11">
        <v>-3.618056626793252E-3</v>
      </c>
      <c r="C17" s="78">
        <v>12</v>
      </c>
    </row>
    <row r="18" spans="1:3" x14ac:dyDescent="0.25">
      <c r="A18" s="1"/>
      <c r="B18" s="21"/>
    </row>
    <row r="19" spans="1:3" x14ac:dyDescent="0.25">
      <c r="B19" s="11"/>
    </row>
    <row r="20" spans="1:3" x14ac:dyDescent="0.25">
      <c r="C20" s="3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Plan230"/>
  <dimension ref="A1:I68"/>
  <sheetViews>
    <sheetView showGridLines="0" workbookViewId="0">
      <selection activeCell="A5" sqref="A5:F17"/>
    </sheetView>
  </sheetViews>
  <sheetFormatPr defaultRowHeight="15" x14ac:dyDescent="0.25"/>
  <cols>
    <col min="1" max="1" width="14.85546875" customWidth="1"/>
    <col min="2" max="6" width="10" customWidth="1"/>
  </cols>
  <sheetData>
    <row r="1" spans="1:8" x14ac:dyDescent="0.25">
      <c r="C1" s="78"/>
      <c r="D1" s="78"/>
      <c r="E1" s="78"/>
      <c r="F1" s="78"/>
      <c r="G1" s="78" t="s">
        <v>1339</v>
      </c>
      <c r="H1" s="78" t="s">
        <v>1340</v>
      </c>
    </row>
    <row r="3" spans="1:8" x14ac:dyDescent="0.25">
      <c r="A3" s="350" t="str">
        <f>"Tabela Referente à "&amp;G1</f>
        <v>Tabela Referente à Figura 6.19</v>
      </c>
      <c r="B3" s="350"/>
      <c r="C3" s="350"/>
      <c r="D3" s="350"/>
      <c r="E3" s="350"/>
      <c r="F3" s="350"/>
    </row>
    <row r="4" spans="1:8" ht="32.25" customHeight="1" x14ac:dyDescent="0.25">
      <c r="A4" s="352" t="str">
        <f>H1</f>
        <v>Variação da Tarifa Aérea Média Doméstica Real com relação ao mesmo trimestre do ano anterior por empresa, 2015 a 2018</v>
      </c>
      <c r="B4" s="352"/>
      <c r="C4" s="352"/>
      <c r="D4" s="352"/>
      <c r="E4" s="352"/>
      <c r="F4" s="352"/>
    </row>
    <row r="5" spans="1:8" x14ac:dyDescent="0.25">
      <c r="A5" s="1" t="s">
        <v>20</v>
      </c>
      <c r="B5" s="21" t="s">
        <v>820</v>
      </c>
      <c r="C5" s="21" t="s">
        <v>59</v>
      </c>
      <c r="D5" s="21" t="s">
        <v>526</v>
      </c>
      <c r="E5" s="21" t="s">
        <v>60</v>
      </c>
      <c r="F5" s="21" t="s">
        <v>61</v>
      </c>
    </row>
    <row r="6" spans="1:8" x14ac:dyDescent="0.25">
      <c r="A6" s="286">
        <v>2016</v>
      </c>
      <c r="B6" s="76" t="s">
        <v>661</v>
      </c>
      <c r="C6" s="215">
        <v>0.11517493176786596</v>
      </c>
      <c r="D6" s="215">
        <v>-4.758606026363002E-2</v>
      </c>
      <c r="E6" s="215">
        <v>3.9085190086346033E-2</v>
      </c>
      <c r="F6" s="215">
        <v>-3.3632043154825278E-2</v>
      </c>
    </row>
    <row r="7" spans="1:8" x14ac:dyDescent="0.25">
      <c r="A7" s="286" t="s">
        <v>369</v>
      </c>
      <c r="B7" s="77" t="s">
        <v>662</v>
      </c>
      <c r="C7" s="214">
        <v>4.0121907183518851E-2</v>
      </c>
      <c r="D7" s="214">
        <v>-8.4992544324768063E-2</v>
      </c>
      <c r="E7" s="214">
        <v>9.239764092985725E-2</v>
      </c>
      <c r="F7" s="214">
        <v>-0.1484883310846756</v>
      </c>
    </row>
    <row r="8" spans="1:8" x14ac:dyDescent="0.25">
      <c r="A8" s="286" t="s">
        <v>369</v>
      </c>
      <c r="B8" s="76" t="s">
        <v>663</v>
      </c>
      <c r="C8" s="215">
        <v>-5.0959268552165836E-2</v>
      </c>
      <c r="D8" s="215">
        <v>-0.13164908105640391</v>
      </c>
      <c r="E8" s="215">
        <v>-5.4126396750784025E-2</v>
      </c>
      <c r="F8" s="215">
        <v>-0.18231964932233621</v>
      </c>
    </row>
    <row r="9" spans="1:8" x14ac:dyDescent="0.25">
      <c r="A9" s="286" t="s">
        <v>369</v>
      </c>
      <c r="B9" s="77" t="s">
        <v>664</v>
      </c>
      <c r="C9" s="214">
        <v>7.9535518470916167E-2</v>
      </c>
      <c r="D9" s="214">
        <v>-2.2647491031419439E-2</v>
      </c>
      <c r="E9" s="214">
        <v>-6.0167851728054854E-2</v>
      </c>
      <c r="F9" s="214">
        <v>-5.7116414001555441E-2</v>
      </c>
    </row>
    <row r="10" spans="1:8" x14ac:dyDescent="0.25">
      <c r="A10" s="293">
        <v>2017</v>
      </c>
      <c r="B10" s="76" t="s">
        <v>661</v>
      </c>
      <c r="C10" s="215">
        <v>7.9949844352183563E-3</v>
      </c>
      <c r="D10" s="215">
        <v>-0.10296560699935296</v>
      </c>
      <c r="E10" s="215">
        <v>-8.7471095516054989E-2</v>
      </c>
      <c r="F10" s="215">
        <v>-6.7769274564762741E-2</v>
      </c>
    </row>
    <row r="11" spans="1:8" x14ac:dyDescent="0.25">
      <c r="A11" s="293" t="s">
        <v>369</v>
      </c>
      <c r="B11" s="77" t="s">
        <v>662</v>
      </c>
      <c r="C11" s="214">
        <v>0.11931511659797572</v>
      </c>
      <c r="D11" s="214">
        <v>-8.5696560559657187E-2</v>
      </c>
      <c r="E11" s="214">
        <v>-8.8077686374398306E-2</v>
      </c>
      <c r="F11" s="214">
        <v>2.2440329738676233E-2</v>
      </c>
    </row>
    <row r="12" spans="1:8" x14ac:dyDescent="0.25">
      <c r="A12" s="293" t="s">
        <v>369</v>
      </c>
      <c r="B12" s="76" t="s">
        <v>663</v>
      </c>
      <c r="C12" s="215">
        <v>9.173717732078443E-2</v>
      </c>
      <c r="D12" s="215">
        <v>-7.328566403361092E-2</v>
      </c>
      <c r="E12" s="215">
        <v>-1.8470022739788775E-2</v>
      </c>
      <c r="F12" s="215">
        <v>-1.0110726186350944E-2</v>
      </c>
    </row>
    <row r="13" spans="1:8" x14ac:dyDescent="0.25">
      <c r="A13" s="293" t="s">
        <v>369</v>
      </c>
      <c r="B13" s="77" t="s">
        <v>664</v>
      </c>
      <c r="C13" s="214">
        <v>-1.0375136892339565E-2</v>
      </c>
      <c r="D13" s="214">
        <v>-6.8589754967704378E-2</v>
      </c>
      <c r="E13" s="214">
        <v>0.11659192078313135</v>
      </c>
      <c r="F13" s="214">
        <v>5.8644188204691222E-2</v>
      </c>
    </row>
    <row r="14" spans="1:8" x14ac:dyDescent="0.25">
      <c r="A14" s="286">
        <v>2018</v>
      </c>
      <c r="B14" s="76" t="s">
        <v>661</v>
      </c>
      <c r="C14" s="215">
        <v>5.8162072698075752E-2</v>
      </c>
      <c r="D14" s="215">
        <v>5.3819045488666721E-2</v>
      </c>
      <c r="E14" s="215">
        <v>0.13302121983424806</v>
      </c>
      <c r="F14" s="215">
        <v>7.2044759314138174E-2</v>
      </c>
    </row>
    <row r="15" spans="1:8" x14ac:dyDescent="0.25">
      <c r="A15" s="286" t="s">
        <v>369</v>
      </c>
      <c r="B15" s="77" t="s">
        <v>662</v>
      </c>
      <c r="C15" s="214">
        <v>-9.3038897606536025E-2</v>
      </c>
      <c r="D15" s="214">
        <v>-4.0711027009512089E-2</v>
      </c>
      <c r="E15" s="214">
        <v>3.9651095221170926E-2</v>
      </c>
      <c r="F15" s="214">
        <v>-5.3223617352217062E-2</v>
      </c>
    </row>
    <row r="16" spans="1:8" x14ac:dyDescent="0.25">
      <c r="A16" s="286" t="s">
        <v>369</v>
      </c>
      <c r="B16" s="76" t="s">
        <v>663</v>
      </c>
      <c r="C16" s="215">
        <v>-3.9856033607916702E-2</v>
      </c>
      <c r="D16" s="215">
        <v>-7.9931793189965822E-2</v>
      </c>
      <c r="E16" s="215">
        <v>7.6439218691218683E-2</v>
      </c>
      <c r="F16" s="215">
        <v>0.16496617915362072</v>
      </c>
    </row>
    <row r="17" spans="1:9" x14ac:dyDescent="0.25">
      <c r="A17" s="286" t="s">
        <v>369</v>
      </c>
      <c r="B17" s="77" t="s">
        <v>664</v>
      </c>
      <c r="C17" s="214">
        <v>-2.0887965393399183E-2</v>
      </c>
      <c r="D17" s="214">
        <v>4.331773505296109E-2</v>
      </c>
      <c r="E17" s="214">
        <v>3.4870249251237807E-2</v>
      </c>
      <c r="F17" s="214">
        <v>7.302158906521726E-2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Plan228"/>
  <dimension ref="A1:H17"/>
  <sheetViews>
    <sheetView showGridLines="0" workbookViewId="0">
      <selection activeCell="O29" sqref="O29"/>
    </sheetView>
  </sheetViews>
  <sheetFormatPr defaultRowHeight="15" x14ac:dyDescent="0.25"/>
  <cols>
    <col min="1" max="1" width="19.140625" customWidth="1"/>
    <col min="2" max="5" width="13.5703125" customWidth="1"/>
  </cols>
  <sheetData>
    <row r="1" spans="1:8" x14ac:dyDescent="0.25">
      <c r="C1" s="78"/>
      <c r="D1" s="78"/>
      <c r="E1" s="78"/>
      <c r="F1" s="78"/>
      <c r="G1" s="78" t="s">
        <v>1341</v>
      </c>
      <c r="H1" s="78" t="s">
        <v>1342</v>
      </c>
    </row>
    <row r="3" spans="1:8" x14ac:dyDescent="0.25">
      <c r="A3" s="350" t="str">
        <f>"Tabela Referente à "&amp;G1</f>
        <v>Tabela Referente à Figura 6.20</v>
      </c>
      <c r="B3" s="350"/>
      <c r="C3" s="350"/>
      <c r="D3" s="350"/>
      <c r="E3" s="350"/>
    </row>
    <row r="4" spans="1:8" ht="16.5" customHeight="1" x14ac:dyDescent="0.25">
      <c r="A4" s="355" t="str">
        <f>H1</f>
        <v>Evolução do Yield Tarifa Aérea Médio Doméstico Real por empresa, 2015 a 2018</v>
      </c>
      <c r="B4" s="355"/>
      <c r="C4" s="355"/>
      <c r="D4" s="355"/>
      <c r="E4" s="355"/>
    </row>
    <row r="5" spans="1:8" x14ac:dyDescent="0.25">
      <c r="A5" s="1" t="s">
        <v>20</v>
      </c>
      <c r="B5" s="21" t="s">
        <v>526</v>
      </c>
      <c r="C5" s="21" t="s">
        <v>59</v>
      </c>
      <c r="D5" s="21" t="s">
        <v>61</v>
      </c>
      <c r="E5" s="21" t="s">
        <v>60</v>
      </c>
    </row>
    <row r="6" spans="1:8" x14ac:dyDescent="0.25">
      <c r="A6" s="174">
        <v>2016</v>
      </c>
      <c r="B6" s="216">
        <v>0.28017063850876728</v>
      </c>
      <c r="C6" s="216">
        <v>0.28705596200259553</v>
      </c>
      <c r="D6" s="216">
        <v>0.32499973221344847</v>
      </c>
      <c r="E6" s="216">
        <v>0.47698939279479796</v>
      </c>
    </row>
    <row r="7" spans="1:8" x14ac:dyDescent="0.25">
      <c r="A7" s="173">
        <v>2017</v>
      </c>
      <c r="B7" s="217">
        <v>0.25377660143682162</v>
      </c>
      <c r="C7" s="217">
        <v>0.2939641658367147</v>
      </c>
      <c r="D7" s="217">
        <v>0.32456316860941653</v>
      </c>
      <c r="E7" s="217">
        <v>0.44512032269201318</v>
      </c>
    </row>
    <row r="8" spans="1:8" x14ac:dyDescent="0.25">
      <c r="A8" s="174">
        <v>2018</v>
      </c>
      <c r="B8" s="216">
        <v>0.24713004582382336</v>
      </c>
      <c r="C8" s="216">
        <v>0.28932483969788375</v>
      </c>
      <c r="D8" s="216">
        <v>0.33419286482115151</v>
      </c>
      <c r="E8" s="216">
        <v>0.44794547597260231</v>
      </c>
    </row>
    <row r="17" spans="2:2" x14ac:dyDescent="0.25">
      <c r="B17" s="114"/>
    </row>
  </sheetData>
  <mergeCells count="2"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Plan229"/>
  <dimension ref="A1:H17"/>
  <sheetViews>
    <sheetView showGridLines="0" workbookViewId="0">
      <selection activeCell="A5" sqref="A5:E8"/>
    </sheetView>
  </sheetViews>
  <sheetFormatPr defaultRowHeight="15" x14ac:dyDescent="0.25"/>
  <cols>
    <col min="1" max="1" width="19.140625" customWidth="1"/>
    <col min="2" max="2" width="6.85546875" bestFit="1" customWidth="1"/>
    <col min="3" max="3" width="16.28515625" customWidth="1"/>
    <col min="4" max="4" width="10.5703125" bestFit="1" customWidth="1"/>
  </cols>
  <sheetData>
    <row r="1" spans="1:8" x14ac:dyDescent="0.25">
      <c r="C1" s="78"/>
      <c r="D1" s="78"/>
      <c r="E1" s="78"/>
      <c r="F1" s="78"/>
      <c r="G1" s="78" t="s">
        <v>1343</v>
      </c>
      <c r="H1" s="78" t="s">
        <v>1344</v>
      </c>
    </row>
    <row r="3" spans="1:8" x14ac:dyDescent="0.25">
      <c r="A3" s="350" t="str">
        <f>"Tabela Referente à "&amp;G1</f>
        <v>Tabela Referente à Figura 6.21</v>
      </c>
      <c r="B3" s="350"/>
      <c r="C3" s="350"/>
      <c r="D3" s="350"/>
      <c r="E3" s="350"/>
    </row>
    <row r="4" spans="1:8" ht="30.75" customHeight="1" x14ac:dyDescent="0.25">
      <c r="A4" s="351" t="str">
        <f>H1</f>
        <v>Variação do Yield Tarifa Aérea Médio Doméstico Real por empresa, 2015 a 2018</v>
      </c>
      <c r="B4" s="351"/>
      <c r="C4" s="351"/>
      <c r="D4" s="351"/>
      <c r="E4" s="351"/>
    </row>
    <row r="5" spans="1:8" x14ac:dyDescent="0.25">
      <c r="A5" s="1" t="s">
        <v>20</v>
      </c>
      <c r="B5" s="21" t="s">
        <v>59</v>
      </c>
      <c r="C5" s="21" t="s">
        <v>526</v>
      </c>
      <c r="D5" s="21" t="s">
        <v>60</v>
      </c>
      <c r="E5" s="21" t="s">
        <v>61</v>
      </c>
    </row>
    <row r="6" spans="1:8" x14ac:dyDescent="0.25">
      <c r="A6" s="174">
        <v>2016</v>
      </c>
      <c r="B6" s="77">
        <v>-5.0949611859511627E-2</v>
      </c>
      <c r="C6" s="77">
        <v>-6.0176104523700522E-2</v>
      </c>
      <c r="D6" s="77">
        <v>3.0337158069891055E-3</v>
      </c>
      <c r="E6" s="77">
        <v>-7.9000799967869878E-2</v>
      </c>
    </row>
    <row r="7" spans="1:8" x14ac:dyDescent="0.25">
      <c r="A7" s="173">
        <v>2017</v>
      </c>
      <c r="B7" s="76">
        <v>2.4065704073607433E-2</v>
      </c>
      <c r="C7" s="76">
        <v>-9.4207006174630653E-2</v>
      </c>
      <c r="D7" s="76">
        <v>-6.6812953462248026E-2</v>
      </c>
      <c r="E7" s="76">
        <v>-1.3432737345925466E-3</v>
      </c>
    </row>
    <row r="8" spans="1:8" x14ac:dyDescent="0.25">
      <c r="A8" s="174">
        <v>2018</v>
      </c>
      <c r="B8" s="77">
        <v>-1.578194446124398E-2</v>
      </c>
      <c r="C8" s="77">
        <v>-2.6190576969535702E-2</v>
      </c>
      <c r="D8" s="77">
        <v>6.3469429198448595E-3</v>
      </c>
      <c r="E8" s="77">
        <v>2.9669713458225087E-2</v>
      </c>
    </row>
    <row r="17" spans="2:2" x14ac:dyDescent="0.25">
      <c r="B17" s="114"/>
    </row>
  </sheetData>
  <mergeCells count="2"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Plan231"/>
  <dimension ref="A1:I68"/>
  <sheetViews>
    <sheetView showGridLines="0" workbookViewId="0">
      <selection activeCell="A5" sqref="A5:F17"/>
    </sheetView>
  </sheetViews>
  <sheetFormatPr defaultRowHeight="15" x14ac:dyDescent="0.25"/>
  <cols>
    <col min="1" max="1" width="14.85546875" customWidth="1"/>
    <col min="2" max="2" width="5.140625" customWidth="1"/>
    <col min="3" max="6" width="9.5703125" bestFit="1" customWidth="1"/>
  </cols>
  <sheetData>
    <row r="1" spans="1:8" x14ac:dyDescent="0.25">
      <c r="C1" s="78"/>
      <c r="D1" s="78"/>
      <c r="E1" s="78"/>
      <c r="F1" s="78"/>
      <c r="G1" s="78" t="s">
        <v>1345</v>
      </c>
      <c r="H1" s="78" t="s">
        <v>1346</v>
      </c>
    </row>
    <row r="3" spans="1:8" x14ac:dyDescent="0.25">
      <c r="A3" s="350" t="str">
        <f>"Tabela Referente à "&amp;G1</f>
        <v>Tabela Referente à Figura 6.22</v>
      </c>
      <c r="B3" s="350"/>
      <c r="C3" s="350"/>
      <c r="D3" s="350"/>
      <c r="E3" s="350"/>
      <c r="F3" s="350"/>
    </row>
    <row r="4" spans="1:8" ht="32.25" customHeight="1" x14ac:dyDescent="0.25">
      <c r="A4" s="352" t="str">
        <f>H1</f>
        <v>Yield Tarifa Aérea Médio Doméstico Real trimestral por empresa, 2015 a 2018</v>
      </c>
      <c r="B4" s="352"/>
      <c r="C4" s="352"/>
      <c r="D4" s="352"/>
      <c r="E4" s="352"/>
      <c r="F4" s="352"/>
    </row>
    <row r="5" spans="1:8" x14ac:dyDescent="0.25">
      <c r="A5" s="1" t="s">
        <v>20</v>
      </c>
      <c r="B5" s="21" t="s">
        <v>820</v>
      </c>
      <c r="C5" s="21" t="s">
        <v>526</v>
      </c>
      <c r="D5" s="21" t="s">
        <v>59</v>
      </c>
      <c r="E5" s="21" t="s">
        <v>61</v>
      </c>
      <c r="F5" s="21" t="s">
        <v>60</v>
      </c>
    </row>
    <row r="6" spans="1:8" x14ac:dyDescent="0.25">
      <c r="A6" s="286">
        <v>2016</v>
      </c>
      <c r="B6" s="76" t="s">
        <v>661</v>
      </c>
      <c r="C6" s="152">
        <v>0.26714644033013502</v>
      </c>
      <c r="D6" s="152">
        <v>0.30615426042161659</v>
      </c>
      <c r="E6" s="152">
        <v>0.32742975070941754</v>
      </c>
      <c r="F6" s="152">
        <v>0.46736357544374552</v>
      </c>
    </row>
    <row r="7" spans="1:8" x14ac:dyDescent="0.25">
      <c r="A7" s="286" t="s">
        <v>369</v>
      </c>
      <c r="B7" s="77" t="s">
        <v>662</v>
      </c>
      <c r="C7" s="153">
        <v>0.25782119254937119</v>
      </c>
      <c r="D7" s="153">
        <v>0.25172289273954518</v>
      </c>
      <c r="E7" s="153">
        <v>0.28972712685480934</v>
      </c>
      <c r="F7" s="153">
        <v>0.4795327808808772</v>
      </c>
    </row>
    <row r="8" spans="1:8" x14ac:dyDescent="0.25">
      <c r="A8" s="286" t="s">
        <v>369</v>
      </c>
      <c r="B8" s="76" t="s">
        <v>663</v>
      </c>
      <c r="C8" s="152">
        <v>0.29687245400932044</v>
      </c>
      <c r="D8" s="152">
        <v>0.28056030208693278</v>
      </c>
      <c r="E8" s="152">
        <v>0.32758838990541006</v>
      </c>
      <c r="F8" s="152">
        <v>0.5099533163087242</v>
      </c>
    </row>
    <row r="9" spans="1:8" x14ac:dyDescent="0.25">
      <c r="A9" s="286" t="s">
        <v>369</v>
      </c>
      <c r="B9" s="77" t="s">
        <v>664</v>
      </c>
      <c r="C9" s="153">
        <v>0.30656565716137724</v>
      </c>
      <c r="D9" s="153">
        <v>0.31656258525842768</v>
      </c>
      <c r="E9" s="153">
        <v>0.35277408518086234</v>
      </c>
      <c r="F9" s="153">
        <v>0.45732756399614144</v>
      </c>
    </row>
    <row r="10" spans="1:8" x14ac:dyDescent="0.25">
      <c r="A10" s="293">
        <v>2017</v>
      </c>
      <c r="B10" s="76" t="s">
        <v>661</v>
      </c>
      <c r="C10" s="152">
        <v>0.23806313238893104</v>
      </c>
      <c r="D10" s="152">
        <v>0.28016321264146954</v>
      </c>
      <c r="E10" s="152">
        <v>0.30093097937435098</v>
      </c>
      <c r="F10" s="152">
        <v>0.41846850903106297</v>
      </c>
    </row>
    <row r="11" spans="1:8" x14ac:dyDescent="0.25">
      <c r="A11" s="293" t="s">
        <v>369</v>
      </c>
      <c r="B11" s="77" t="s">
        <v>662</v>
      </c>
      <c r="C11" s="153">
        <v>0.22775288468647978</v>
      </c>
      <c r="D11" s="153">
        <v>0.26933931833637598</v>
      </c>
      <c r="E11" s="153">
        <v>0.29676897946879699</v>
      </c>
      <c r="F11" s="153">
        <v>0.41882336729601877</v>
      </c>
    </row>
    <row r="12" spans="1:8" x14ac:dyDescent="0.25">
      <c r="A12" s="293" t="s">
        <v>369</v>
      </c>
      <c r="B12" s="76" t="s">
        <v>663</v>
      </c>
      <c r="C12" s="152">
        <v>0.26373570212767544</v>
      </c>
      <c r="D12" s="152">
        <v>0.30612152786251234</v>
      </c>
      <c r="E12" s="152">
        <v>0.32498219602715123</v>
      </c>
      <c r="F12" s="152">
        <v>0.4660780753901011</v>
      </c>
    </row>
    <row r="13" spans="1:8" x14ac:dyDescent="0.25">
      <c r="A13" s="293" t="s">
        <v>369</v>
      </c>
      <c r="B13" s="77" t="s">
        <v>664</v>
      </c>
      <c r="C13" s="153">
        <v>0.28489990901520318</v>
      </c>
      <c r="D13" s="153">
        <v>0.31406449155767374</v>
      </c>
      <c r="E13" s="153">
        <v>0.37995066117505005</v>
      </c>
      <c r="F13" s="153">
        <v>0.47789724562993335</v>
      </c>
    </row>
    <row r="14" spans="1:8" x14ac:dyDescent="0.25">
      <c r="A14" s="286">
        <v>2018</v>
      </c>
      <c r="B14" s="76" t="s">
        <v>661</v>
      </c>
      <c r="C14" s="152">
        <v>0.24569035391133298</v>
      </c>
      <c r="D14" s="152">
        <v>0.30048260311821923</v>
      </c>
      <c r="E14" s="152">
        <v>0.32747424728014624</v>
      </c>
      <c r="F14" s="152">
        <v>0.44728296825668645</v>
      </c>
    </row>
    <row r="15" spans="1:8" x14ac:dyDescent="0.25">
      <c r="A15" s="286" t="s">
        <v>369</v>
      </c>
      <c r="B15" s="77" t="s">
        <v>662</v>
      </c>
      <c r="C15" s="153">
        <v>0.21697318775307362</v>
      </c>
      <c r="D15" s="153">
        <v>0.25273261045684248</v>
      </c>
      <c r="E15" s="153">
        <v>0.27804133341796217</v>
      </c>
      <c r="F15" s="153">
        <v>0.41154382147311597</v>
      </c>
    </row>
    <row r="16" spans="1:8" x14ac:dyDescent="0.25">
      <c r="A16" s="286" t="s">
        <v>369</v>
      </c>
      <c r="B16" s="76" t="s">
        <v>663</v>
      </c>
      <c r="C16" s="152">
        <v>0.24239515610430684</v>
      </c>
      <c r="D16" s="152">
        <v>0.29842337678762731</v>
      </c>
      <c r="E16" s="152">
        <v>0.37044939829961115</v>
      </c>
      <c r="F16" s="152">
        <v>0.46521521789802417</v>
      </c>
    </row>
    <row r="17" spans="1:9" x14ac:dyDescent="0.25">
      <c r="A17" s="286" t="s">
        <v>369</v>
      </c>
      <c r="B17" s="77" t="s">
        <v>664</v>
      </c>
      <c r="C17" s="153">
        <v>0.2837008310860048</v>
      </c>
      <c r="D17" s="153">
        <v>0.31234105621048597</v>
      </c>
      <c r="E17" s="153">
        <v>0.39499433757483438</v>
      </c>
      <c r="F17" s="153">
        <v>0.46847398065900198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Plan232"/>
  <dimension ref="A1:I68"/>
  <sheetViews>
    <sheetView showGridLines="0" workbookViewId="0">
      <selection activeCell="A5" sqref="A5:F17"/>
    </sheetView>
  </sheetViews>
  <sheetFormatPr defaultRowHeight="15" x14ac:dyDescent="0.25"/>
  <cols>
    <col min="1" max="1" width="14.85546875" customWidth="1"/>
    <col min="2" max="2" width="5.140625" customWidth="1"/>
    <col min="3" max="3" width="5.28515625" bestFit="1" customWidth="1"/>
  </cols>
  <sheetData>
    <row r="1" spans="1:8" x14ac:dyDescent="0.25">
      <c r="C1" s="78"/>
      <c r="D1" s="78"/>
      <c r="E1" s="78"/>
      <c r="F1" s="78"/>
      <c r="G1" s="78" t="s">
        <v>1347</v>
      </c>
      <c r="H1" s="78" t="s">
        <v>1348</v>
      </c>
    </row>
    <row r="3" spans="1:8" x14ac:dyDescent="0.25">
      <c r="A3" s="350" t="str">
        <f>"Tabela Referente à "&amp;G1</f>
        <v>Tabela Referente à Figura 6.23</v>
      </c>
      <c r="B3" s="350"/>
      <c r="C3" s="350"/>
      <c r="D3" s="350"/>
      <c r="E3" s="350"/>
      <c r="F3" s="350"/>
    </row>
    <row r="4" spans="1:8" ht="32.25" customHeight="1" x14ac:dyDescent="0.25">
      <c r="A4" s="352" t="str">
        <f>H1</f>
        <v>Yield Tarifa Aérea Médio Doméstico Real com relação ao mesmo trimestre do ano anterior por empresa, 2015 a 2018</v>
      </c>
      <c r="B4" s="352"/>
      <c r="C4" s="352"/>
      <c r="D4" s="352"/>
      <c r="E4" s="352"/>
      <c r="F4" s="352"/>
    </row>
    <row r="5" spans="1:8" x14ac:dyDescent="0.25">
      <c r="A5" s="1" t="s">
        <v>20</v>
      </c>
      <c r="B5" s="21" t="s">
        <v>820</v>
      </c>
      <c r="C5" s="21" t="s">
        <v>59</v>
      </c>
      <c r="D5" s="21" t="s">
        <v>526</v>
      </c>
      <c r="E5" s="21" t="s">
        <v>60</v>
      </c>
      <c r="F5" s="21" t="s">
        <v>61</v>
      </c>
    </row>
    <row r="6" spans="1:8" x14ac:dyDescent="0.25">
      <c r="A6" s="286">
        <v>2016</v>
      </c>
      <c r="B6" s="76" t="s">
        <v>661</v>
      </c>
      <c r="C6" s="215">
        <v>0.12365600763853386</v>
      </c>
      <c r="D6" s="215">
        <v>5.0277504054725376E-3</v>
      </c>
      <c r="E6" s="215">
        <v>2.0285071103366567E-2</v>
      </c>
      <c r="F6" s="215">
        <v>7.5965889161552468E-3</v>
      </c>
    </row>
    <row r="7" spans="1:8" x14ac:dyDescent="0.25">
      <c r="A7" s="286" t="s">
        <v>369</v>
      </c>
      <c r="B7" s="77" t="s">
        <v>662</v>
      </c>
      <c r="C7" s="214">
        <v>-5.5038986000380721E-2</v>
      </c>
      <c r="D7" s="214">
        <v>-6.6924946055122864E-2</v>
      </c>
      <c r="E7" s="214">
        <v>9.2324493407324543E-2</v>
      </c>
      <c r="F7" s="214">
        <v>-0.11510632899886312</v>
      </c>
    </row>
    <row r="8" spans="1:8" x14ac:dyDescent="0.25">
      <c r="A8" s="286" t="s">
        <v>369</v>
      </c>
      <c r="B8" s="76" t="s">
        <v>663</v>
      </c>
      <c r="C8" s="215">
        <v>-0.1525399922816196</v>
      </c>
      <c r="D8" s="215">
        <v>-0.12835335609666371</v>
      </c>
      <c r="E8" s="215">
        <v>-1.0501267004087614E-2</v>
      </c>
      <c r="F8" s="215">
        <v>-0.15631228523397941</v>
      </c>
    </row>
    <row r="9" spans="1:8" x14ac:dyDescent="0.25">
      <c r="A9" s="286" t="s">
        <v>369</v>
      </c>
      <c r="B9" s="77" t="s">
        <v>664</v>
      </c>
      <c r="C9" s="214">
        <v>-0.1031999860590001</v>
      </c>
      <c r="D9" s="214">
        <v>-5.6265021839055691E-2</v>
      </c>
      <c r="E9" s="214">
        <v>-7.8970002585063259E-2</v>
      </c>
      <c r="F9" s="214">
        <v>-5.1359717964343882E-2</v>
      </c>
    </row>
    <row r="10" spans="1:8" x14ac:dyDescent="0.25">
      <c r="A10" s="293">
        <v>2017</v>
      </c>
      <c r="B10" s="76" t="s">
        <v>661</v>
      </c>
      <c r="C10" s="215">
        <v>-8.4895267321623405E-2</v>
      </c>
      <c r="D10" s="215">
        <v>-0.10886653741394915</v>
      </c>
      <c r="E10" s="215">
        <v>-0.1046189069532395</v>
      </c>
      <c r="F10" s="215">
        <v>-8.0929638426727124E-2</v>
      </c>
    </row>
    <row r="11" spans="1:8" x14ac:dyDescent="0.25">
      <c r="A11" s="293" t="s">
        <v>369</v>
      </c>
      <c r="B11" s="77" t="s">
        <v>662</v>
      </c>
      <c r="C11" s="214">
        <v>6.998340677364738E-2</v>
      </c>
      <c r="D11" s="214">
        <v>-0.11662465589260478</v>
      </c>
      <c r="E11" s="214">
        <v>-0.12660117515498803</v>
      </c>
      <c r="F11" s="214">
        <v>2.430512009845916E-2</v>
      </c>
    </row>
    <row r="12" spans="1:8" x14ac:dyDescent="0.25">
      <c r="A12" s="293" t="s">
        <v>369</v>
      </c>
      <c r="B12" s="76" t="s">
        <v>663</v>
      </c>
      <c r="C12" s="215">
        <v>9.11077782046988E-2</v>
      </c>
      <c r="D12" s="215">
        <v>-0.11161948989920316</v>
      </c>
      <c r="E12" s="215">
        <v>-8.6037759762427279E-2</v>
      </c>
      <c r="F12" s="215">
        <v>-7.9556967174916129E-3</v>
      </c>
    </row>
    <row r="13" spans="1:8" x14ac:dyDescent="0.25">
      <c r="A13" s="293" t="s">
        <v>369</v>
      </c>
      <c r="B13" s="77" t="s">
        <v>664</v>
      </c>
      <c r="C13" s="214">
        <v>-7.8913106509873893E-3</v>
      </c>
      <c r="D13" s="214">
        <v>-7.0672456748047063E-2</v>
      </c>
      <c r="E13" s="214">
        <v>4.4978005379893229E-2</v>
      </c>
      <c r="F13" s="214">
        <v>7.7036769807665051E-2</v>
      </c>
    </row>
    <row r="14" spans="1:8" x14ac:dyDescent="0.25">
      <c r="A14" s="286">
        <v>2018</v>
      </c>
      <c r="B14" s="76" t="s">
        <v>661</v>
      </c>
      <c r="C14" s="215">
        <v>7.2526975562465498E-2</v>
      </c>
      <c r="D14" s="215">
        <v>3.2038650612817778E-2</v>
      </c>
      <c r="E14" s="215">
        <v>6.8856935716241852E-2</v>
      </c>
      <c r="F14" s="215">
        <v>8.8203839833904438E-2</v>
      </c>
    </row>
    <row r="15" spans="1:8" x14ac:dyDescent="0.25">
      <c r="A15" s="286" t="s">
        <v>369</v>
      </c>
      <c r="B15" s="77" t="s">
        <v>662</v>
      </c>
      <c r="C15" s="214">
        <v>-6.165719874137908E-2</v>
      </c>
      <c r="D15" s="214">
        <v>-4.7330671346908673E-2</v>
      </c>
      <c r="E15" s="214">
        <v>-1.7380944788015405E-2</v>
      </c>
      <c r="F15" s="214">
        <v>-6.3105133442034472E-2</v>
      </c>
    </row>
    <row r="16" spans="1:8" x14ac:dyDescent="0.25">
      <c r="A16" s="286" t="s">
        <v>369</v>
      </c>
      <c r="B16" s="76" t="s">
        <v>663</v>
      </c>
      <c r="C16" s="215">
        <v>-2.5147369179283861E-2</v>
      </c>
      <c r="D16" s="215">
        <v>-8.0916409311309556E-2</v>
      </c>
      <c r="E16" s="215">
        <v>-1.8513153431530312E-3</v>
      </c>
      <c r="F16" s="215">
        <v>0.13990674821048132</v>
      </c>
    </row>
    <row r="17" spans="1:9" x14ac:dyDescent="0.25">
      <c r="A17" s="286" t="s">
        <v>369</v>
      </c>
      <c r="B17" s="77" t="s">
        <v>664</v>
      </c>
      <c r="C17" s="214">
        <v>-5.4875205364350718E-3</v>
      </c>
      <c r="D17" s="214">
        <v>-4.20876908435373E-3</v>
      </c>
      <c r="E17" s="214">
        <v>-1.9718182218251199E-2</v>
      </c>
      <c r="F17" s="214">
        <v>3.9593762919795085E-2</v>
      </c>
    </row>
    <row r="21" spans="1:9" x14ac:dyDescent="0.25">
      <c r="E21" s="151"/>
      <c r="F21" s="151"/>
      <c r="G21" s="151"/>
      <c r="H21" s="151"/>
      <c r="I21" s="151"/>
    </row>
    <row r="22" spans="1:9" x14ac:dyDescent="0.25">
      <c r="E22" s="151"/>
      <c r="F22" s="151"/>
      <c r="G22" s="151"/>
      <c r="H22" s="151"/>
      <c r="I22" s="151"/>
    </row>
    <row r="23" spans="1:9" x14ac:dyDescent="0.25">
      <c r="E23" s="151"/>
      <c r="F23" s="151"/>
      <c r="G23" s="151"/>
      <c r="H23" s="151"/>
      <c r="I23" s="151"/>
    </row>
    <row r="24" spans="1:9" x14ac:dyDescent="0.25">
      <c r="E24" s="151"/>
      <c r="F24" s="151"/>
      <c r="G24" s="151"/>
      <c r="H24" s="151"/>
      <c r="I24" s="151"/>
    </row>
    <row r="25" spans="1:9" x14ac:dyDescent="0.25">
      <c r="E25" s="151"/>
      <c r="F25" s="151"/>
      <c r="G25" s="151"/>
      <c r="H25" s="151"/>
      <c r="I25" s="151"/>
    </row>
    <row r="26" spans="1:9" x14ac:dyDescent="0.25">
      <c r="E26" s="151"/>
      <c r="F26" s="151"/>
      <c r="G26" s="151"/>
      <c r="H26" s="151"/>
      <c r="I26" s="151"/>
    </row>
    <row r="27" spans="1:9" x14ac:dyDescent="0.25">
      <c r="E27" s="151"/>
      <c r="F27" s="151"/>
      <c r="G27" s="151"/>
      <c r="H27" s="151"/>
      <c r="I27" s="151"/>
    </row>
    <row r="28" spans="1:9" x14ac:dyDescent="0.25">
      <c r="E28" s="151"/>
      <c r="F28" s="151"/>
      <c r="G28" s="151"/>
      <c r="H28" s="151"/>
      <c r="I28" s="151"/>
    </row>
    <row r="29" spans="1:9" x14ac:dyDescent="0.25">
      <c r="E29" s="151"/>
      <c r="F29" s="151"/>
      <c r="G29" s="151"/>
      <c r="H29" s="151"/>
      <c r="I29" s="151"/>
    </row>
    <row r="30" spans="1:9" x14ac:dyDescent="0.25">
      <c r="E30" s="151"/>
      <c r="F30" s="151"/>
      <c r="G30" s="151"/>
      <c r="H30" s="151"/>
      <c r="I30" s="151"/>
    </row>
    <row r="31" spans="1:9" x14ac:dyDescent="0.25">
      <c r="E31" s="151"/>
      <c r="F31" s="151"/>
      <c r="G31" s="151"/>
      <c r="H31" s="151"/>
      <c r="I31" s="151"/>
    </row>
    <row r="32" spans="1:9" x14ac:dyDescent="0.25">
      <c r="E32" s="151"/>
      <c r="F32" s="151"/>
      <c r="G32" s="151"/>
      <c r="H32" s="151"/>
      <c r="I32" s="151"/>
    </row>
    <row r="33" spans="5:9" x14ac:dyDescent="0.25">
      <c r="E33" s="151"/>
      <c r="F33" s="151"/>
      <c r="G33" s="151"/>
      <c r="H33" s="151"/>
      <c r="I33" s="151"/>
    </row>
    <row r="34" spans="5:9" x14ac:dyDescent="0.25">
      <c r="E34" s="151"/>
      <c r="F34" s="151"/>
      <c r="G34" s="151"/>
      <c r="H34" s="151"/>
      <c r="I34" s="151"/>
    </row>
    <row r="35" spans="5:9" x14ac:dyDescent="0.25">
      <c r="E35" s="151"/>
    </row>
    <row r="36" spans="5:9" x14ac:dyDescent="0.25">
      <c r="E36" s="151"/>
    </row>
    <row r="37" spans="5:9" x14ac:dyDescent="0.25">
      <c r="E37" s="151"/>
    </row>
    <row r="38" spans="5:9" x14ac:dyDescent="0.25">
      <c r="E38" s="151"/>
    </row>
    <row r="39" spans="5:9" x14ac:dyDescent="0.25">
      <c r="E39" s="151"/>
    </row>
    <row r="40" spans="5:9" x14ac:dyDescent="0.25">
      <c r="E40" s="151"/>
    </row>
    <row r="41" spans="5:9" x14ac:dyDescent="0.25">
      <c r="E41" s="151"/>
    </row>
    <row r="42" spans="5:9" x14ac:dyDescent="0.25">
      <c r="E42" s="151"/>
    </row>
    <row r="43" spans="5:9" x14ac:dyDescent="0.25">
      <c r="E43" s="151"/>
    </row>
    <row r="44" spans="5:9" x14ac:dyDescent="0.25">
      <c r="E44" s="151"/>
    </row>
    <row r="45" spans="5:9" x14ac:dyDescent="0.25">
      <c r="E45" s="151"/>
    </row>
    <row r="46" spans="5:9" x14ac:dyDescent="0.25">
      <c r="E46" s="151"/>
    </row>
    <row r="47" spans="5:9" x14ac:dyDescent="0.25">
      <c r="E47" s="151"/>
    </row>
    <row r="48" spans="5:9" x14ac:dyDescent="0.25">
      <c r="E48" s="151"/>
    </row>
    <row r="49" spans="5:5" x14ac:dyDescent="0.25">
      <c r="E49" s="151"/>
    </row>
    <row r="50" spans="5:5" x14ac:dyDescent="0.25">
      <c r="E50" s="151"/>
    </row>
    <row r="51" spans="5:5" x14ac:dyDescent="0.25">
      <c r="E51" s="151"/>
    </row>
    <row r="52" spans="5:5" x14ac:dyDescent="0.25">
      <c r="E52" s="151"/>
    </row>
    <row r="53" spans="5:5" x14ac:dyDescent="0.25">
      <c r="E53" s="151"/>
    </row>
    <row r="54" spans="5:5" x14ac:dyDescent="0.25">
      <c r="E54" s="151"/>
    </row>
    <row r="55" spans="5:5" x14ac:dyDescent="0.25">
      <c r="E55" s="151"/>
    </row>
    <row r="56" spans="5:5" x14ac:dyDescent="0.25">
      <c r="E56" s="151"/>
    </row>
    <row r="57" spans="5:5" x14ac:dyDescent="0.25">
      <c r="E57" s="151"/>
    </row>
    <row r="58" spans="5:5" x14ac:dyDescent="0.25">
      <c r="E58" s="151"/>
    </row>
    <row r="59" spans="5:5" x14ac:dyDescent="0.25">
      <c r="E59" s="151"/>
    </row>
    <row r="60" spans="5:5" x14ac:dyDescent="0.25">
      <c r="E60" s="151"/>
    </row>
    <row r="61" spans="5:5" x14ac:dyDescent="0.25">
      <c r="E61" s="151"/>
    </row>
    <row r="62" spans="5:5" x14ac:dyDescent="0.25">
      <c r="E62" s="151"/>
    </row>
    <row r="63" spans="5:5" x14ac:dyDescent="0.25">
      <c r="E63" s="151"/>
    </row>
    <row r="64" spans="5:5" x14ac:dyDescent="0.25">
      <c r="E64" s="151"/>
    </row>
    <row r="65" spans="5:5" x14ac:dyDescent="0.25">
      <c r="E65" s="151"/>
    </row>
    <row r="66" spans="5:5" x14ac:dyDescent="0.25">
      <c r="E66" s="151"/>
    </row>
    <row r="67" spans="5:5" x14ac:dyDescent="0.25">
      <c r="E67" s="151"/>
    </row>
    <row r="68" spans="5:5" x14ac:dyDescent="0.25">
      <c r="E68" s="151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Plan236"/>
  <dimension ref="A1:H17"/>
  <sheetViews>
    <sheetView showGridLines="0" workbookViewId="0">
      <selection activeCell="A5" sqref="A5:E8"/>
    </sheetView>
  </sheetViews>
  <sheetFormatPr defaultRowHeight="15" x14ac:dyDescent="0.25"/>
  <cols>
    <col min="1" max="1" width="19.140625" customWidth="1"/>
    <col min="2" max="5" width="12.42578125" customWidth="1"/>
  </cols>
  <sheetData>
    <row r="1" spans="1:8" x14ac:dyDescent="0.25">
      <c r="C1" s="78"/>
      <c r="D1" s="78"/>
      <c r="E1" s="78"/>
      <c r="F1" s="78"/>
      <c r="G1" s="78" t="s">
        <v>1349</v>
      </c>
      <c r="H1" s="78" t="s">
        <v>1350</v>
      </c>
    </row>
    <row r="3" spans="1:8" x14ac:dyDescent="0.25">
      <c r="A3" s="350" t="str">
        <f>"Tabela Referente à "&amp;G1</f>
        <v>Tabela Referente à Figura 6.24</v>
      </c>
      <c r="B3" s="350"/>
      <c r="C3" s="350"/>
      <c r="D3" s="350"/>
      <c r="E3" s="350"/>
    </row>
    <row r="4" spans="1:8" ht="16.5" customHeight="1" x14ac:dyDescent="0.25">
      <c r="A4" s="351" t="str">
        <f>H1</f>
        <v>Variação da distância direta média por empresa, 2015 a 2018</v>
      </c>
      <c r="B4" s="351"/>
      <c r="C4" s="351"/>
      <c r="D4" s="351"/>
      <c r="E4" s="351"/>
    </row>
    <row r="5" spans="1:8" x14ac:dyDescent="0.25">
      <c r="A5" s="1" t="s">
        <v>20</v>
      </c>
      <c r="B5" s="21" t="s">
        <v>59</v>
      </c>
      <c r="C5" s="21" t="s">
        <v>526</v>
      </c>
      <c r="D5" s="21" t="s">
        <v>60</v>
      </c>
      <c r="E5" s="21" t="s">
        <v>61</v>
      </c>
    </row>
    <row r="6" spans="1:8" x14ac:dyDescent="0.25">
      <c r="A6" s="174">
        <v>2016</v>
      </c>
      <c r="B6" s="77">
        <v>9.499113088575091E-2</v>
      </c>
      <c r="C6" s="77">
        <v>-1.4036178245710964E-2</v>
      </c>
      <c r="D6" s="77">
        <v>1.8003803157247309E-3</v>
      </c>
      <c r="E6" s="77">
        <v>-2.8616404713160487E-2</v>
      </c>
    </row>
    <row r="7" spans="1:8" x14ac:dyDescent="0.25">
      <c r="A7" s="173">
        <v>2017</v>
      </c>
      <c r="B7" s="76">
        <v>4.073980983422807E-2</v>
      </c>
      <c r="C7" s="76">
        <v>2.3629954642011394E-2</v>
      </c>
      <c r="D7" s="76">
        <v>4.8342835964028642E-2</v>
      </c>
      <c r="E7" s="76">
        <v>-2.0767341325105796E-3</v>
      </c>
    </row>
    <row r="8" spans="1:8" x14ac:dyDescent="0.25">
      <c r="A8" s="174">
        <v>2018</v>
      </c>
      <c r="B8" s="77">
        <v>-2.0017321997168217E-2</v>
      </c>
      <c r="C8" s="77">
        <v>1.9087684951275941E-2</v>
      </c>
      <c r="D8" s="77">
        <v>6.3281220950053563E-2</v>
      </c>
      <c r="E8" s="77">
        <v>1.2059790778542473E-2</v>
      </c>
    </row>
    <row r="17" spans="2:2" x14ac:dyDescent="0.25">
      <c r="B17" s="114"/>
    </row>
  </sheetData>
  <mergeCells count="2"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Plan207"/>
  <dimension ref="A1:H32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39.5703125" bestFit="1" customWidth="1"/>
    <col min="3" max="4" width="11.42578125" customWidth="1"/>
  </cols>
  <sheetData>
    <row r="1" spans="1:8" x14ac:dyDescent="0.25">
      <c r="D1" s="78"/>
      <c r="E1" s="78"/>
      <c r="F1" s="78" t="s">
        <v>331</v>
      </c>
      <c r="G1" s="78" t="s">
        <v>1351</v>
      </c>
      <c r="H1" s="78" t="s">
        <v>1352</v>
      </c>
    </row>
    <row r="3" spans="1:8" x14ac:dyDescent="0.25">
      <c r="A3" s="350" t="str">
        <f>"Tabela Referente à "&amp;G1</f>
        <v>Tabela Referente à Figura 6.25</v>
      </c>
      <c r="B3" s="350"/>
      <c r="C3" s="350"/>
    </row>
    <row r="4" spans="1:8" ht="32.25" customHeight="1" x14ac:dyDescent="0.25">
      <c r="A4" s="352" t="str">
        <f>H1</f>
        <v>Tarifa Aérea Média Doméstica Real por UF, 2018</v>
      </c>
      <c r="B4" s="352"/>
      <c r="C4" s="352"/>
    </row>
    <row r="5" spans="1:8" x14ac:dyDescent="0.25">
      <c r="A5" s="1" t="s">
        <v>66</v>
      </c>
      <c r="B5" s="1" t="s">
        <v>428</v>
      </c>
      <c r="C5" s="163">
        <v>2018</v>
      </c>
      <c r="D5" s="78" t="s">
        <v>533</v>
      </c>
      <c r="E5" s="78" t="s">
        <v>534</v>
      </c>
      <c r="F5" s="140"/>
    </row>
    <row r="6" spans="1:8" x14ac:dyDescent="0.25">
      <c r="A6" s="281" t="s">
        <v>343</v>
      </c>
      <c r="B6" s="156" t="s">
        <v>80</v>
      </c>
      <c r="C6" s="74">
        <v>348.00745616198247</v>
      </c>
      <c r="D6" s="244">
        <f>_xlfn.RANK.AVG(C6,$C$6:$C$32,1)</f>
        <v>4</v>
      </c>
      <c r="E6" s="244">
        <f>_xlfn.RANK.AVG(C6,$C$6:$C$32,0)</f>
        <v>24</v>
      </c>
      <c r="F6" s="140"/>
      <c r="G6" s="11"/>
    </row>
    <row r="7" spans="1:8" x14ac:dyDescent="0.25">
      <c r="A7" s="281" t="s">
        <v>369</v>
      </c>
      <c r="B7" s="157" t="s">
        <v>78</v>
      </c>
      <c r="C7" s="75">
        <v>374.83027084553356</v>
      </c>
      <c r="D7" s="244">
        <f t="shared" ref="D7:D32" si="0">_xlfn.RANK.AVG(C7,$C$6:$C$32,1)</f>
        <v>8</v>
      </c>
      <c r="E7" s="244">
        <f t="shared" ref="E7:E32" si="1">_xlfn.RANK.AVG(C7,$C$6:$C$32,0)</f>
        <v>20</v>
      </c>
      <c r="F7" s="140"/>
      <c r="G7" s="11"/>
    </row>
    <row r="8" spans="1:8" x14ac:dyDescent="0.25">
      <c r="A8" s="281" t="s">
        <v>369</v>
      </c>
      <c r="B8" s="156" t="s">
        <v>82</v>
      </c>
      <c r="C8" s="74">
        <v>363.03356072129367</v>
      </c>
      <c r="D8" s="244">
        <f t="shared" si="0"/>
        <v>7</v>
      </c>
      <c r="E8" s="244">
        <f t="shared" si="1"/>
        <v>21</v>
      </c>
      <c r="F8" s="140"/>
      <c r="G8" s="11"/>
    </row>
    <row r="9" spans="1:8" x14ac:dyDescent="0.25">
      <c r="A9" s="282" t="s">
        <v>342</v>
      </c>
      <c r="B9" s="157" t="s">
        <v>76</v>
      </c>
      <c r="C9" s="75">
        <v>348.91204596850076</v>
      </c>
      <c r="D9" s="244">
        <f t="shared" si="0"/>
        <v>5</v>
      </c>
      <c r="E9" s="244">
        <f t="shared" si="1"/>
        <v>23</v>
      </c>
      <c r="F9" s="140"/>
      <c r="G9" s="11"/>
    </row>
    <row r="10" spans="1:8" x14ac:dyDescent="0.25">
      <c r="A10" s="282" t="s">
        <v>369</v>
      </c>
      <c r="B10" s="156" t="s">
        <v>83</v>
      </c>
      <c r="C10" s="74">
        <v>330.14915392384222</v>
      </c>
      <c r="D10" s="244">
        <f t="shared" si="0"/>
        <v>2</v>
      </c>
      <c r="E10" s="244">
        <f t="shared" si="1"/>
        <v>26</v>
      </c>
      <c r="F10" s="140"/>
      <c r="G10" s="11"/>
    </row>
    <row r="11" spans="1:8" x14ac:dyDescent="0.25">
      <c r="A11" s="282" t="s">
        <v>369</v>
      </c>
      <c r="B11" s="157" t="s">
        <v>75</v>
      </c>
      <c r="C11" s="75">
        <v>351.21821502569185</v>
      </c>
      <c r="D11" s="244">
        <f t="shared" si="0"/>
        <v>6</v>
      </c>
      <c r="E11" s="244">
        <f t="shared" si="1"/>
        <v>22</v>
      </c>
      <c r="F11" s="140"/>
      <c r="G11" s="11"/>
    </row>
    <row r="12" spans="1:8" x14ac:dyDescent="0.25">
      <c r="A12" s="282" t="s">
        <v>369</v>
      </c>
      <c r="B12" s="156" t="s">
        <v>94</v>
      </c>
      <c r="C12" s="74">
        <v>317.65350895413513</v>
      </c>
      <c r="D12" s="244">
        <f t="shared" si="0"/>
        <v>1</v>
      </c>
      <c r="E12" s="244">
        <f t="shared" si="1"/>
        <v>27</v>
      </c>
      <c r="F12" s="140"/>
      <c r="G12" s="11"/>
    </row>
    <row r="13" spans="1:8" x14ac:dyDescent="0.25">
      <c r="A13" s="281" t="s">
        <v>341</v>
      </c>
      <c r="B13" s="157" t="s">
        <v>89</v>
      </c>
      <c r="C13" s="75">
        <v>457.02449599685525</v>
      </c>
      <c r="D13" s="244">
        <f t="shared" si="0"/>
        <v>18</v>
      </c>
      <c r="E13" s="244">
        <f t="shared" si="1"/>
        <v>10</v>
      </c>
      <c r="F13" s="140"/>
      <c r="G13" s="11"/>
    </row>
    <row r="14" spans="1:8" x14ac:dyDescent="0.25">
      <c r="A14" s="281" t="s">
        <v>369</v>
      </c>
      <c r="B14" s="156" t="s">
        <v>97</v>
      </c>
      <c r="C14" s="74">
        <v>646.70046792838627</v>
      </c>
      <c r="D14" s="244">
        <f t="shared" si="0"/>
        <v>27</v>
      </c>
      <c r="E14" s="244">
        <f t="shared" si="1"/>
        <v>1</v>
      </c>
      <c r="F14" s="140"/>
      <c r="G14" s="11"/>
    </row>
    <row r="15" spans="1:8" x14ac:dyDescent="0.25">
      <c r="A15" s="281" t="s">
        <v>369</v>
      </c>
      <c r="B15" s="157" t="s">
        <v>86</v>
      </c>
      <c r="C15" s="75">
        <v>556.54754572469835</v>
      </c>
      <c r="D15" s="244">
        <f t="shared" si="0"/>
        <v>26</v>
      </c>
      <c r="E15" s="244">
        <f t="shared" si="1"/>
        <v>2</v>
      </c>
      <c r="F15" s="140"/>
      <c r="G15" s="11"/>
    </row>
    <row r="16" spans="1:8" x14ac:dyDescent="0.25">
      <c r="A16" s="281" t="s">
        <v>369</v>
      </c>
      <c r="B16" s="156" t="s">
        <v>77</v>
      </c>
      <c r="C16" s="74">
        <v>403.27681994688339</v>
      </c>
      <c r="D16" s="244">
        <f t="shared" si="0"/>
        <v>11</v>
      </c>
      <c r="E16" s="244">
        <f t="shared" si="1"/>
        <v>17</v>
      </c>
      <c r="F16" s="140"/>
      <c r="G16" s="11"/>
    </row>
    <row r="17" spans="1:7" x14ac:dyDescent="0.25">
      <c r="A17" s="281" t="s">
        <v>369</v>
      </c>
      <c r="B17" s="157" t="s">
        <v>88</v>
      </c>
      <c r="C17" s="75">
        <v>405.99621820585344</v>
      </c>
      <c r="D17" s="244">
        <f t="shared" si="0"/>
        <v>13</v>
      </c>
      <c r="E17" s="244">
        <f t="shared" si="1"/>
        <v>15</v>
      </c>
      <c r="F17" s="140"/>
      <c r="G17" s="11"/>
    </row>
    <row r="18" spans="1:7" x14ac:dyDescent="0.25">
      <c r="A18" s="281" t="s">
        <v>369</v>
      </c>
      <c r="B18" s="156" t="s">
        <v>74</v>
      </c>
      <c r="C18" s="74">
        <v>459.17097206439848</v>
      </c>
      <c r="D18" s="244">
        <f t="shared" si="0"/>
        <v>19</v>
      </c>
      <c r="E18" s="244">
        <f t="shared" si="1"/>
        <v>9</v>
      </c>
      <c r="F18" s="140"/>
      <c r="G18" s="11"/>
    </row>
    <row r="19" spans="1:7" x14ac:dyDescent="0.25">
      <c r="A19" s="281" t="s">
        <v>369</v>
      </c>
      <c r="B19" s="157" t="s">
        <v>87</v>
      </c>
      <c r="C19" s="75">
        <v>528.29827534010758</v>
      </c>
      <c r="D19" s="244">
        <f t="shared" si="0"/>
        <v>25</v>
      </c>
      <c r="E19" s="244">
        <f t="shared" si="1"/>
        <v>3</v>
      </c>
      <c r="F19" s="140"/>
      <c r="G19" s="11"/>
    </row>
    <row r="20" spans="1:7" x14ac:dyDescent="0.25">
      <c r="A20" s="280" t="s">
        <v>340</v>
      </c>
      <c r="B20" s="156" t="s">
        <v>96</v>
      </c>
      <c r="C20" s="74">
        <v>432.54560766068698</v>
      </c>
      <c r="D20" s="244">
        <f t="shared" si="0"/>
        <v>16</v>
      </c>
      <c r="E20" s="244">
        <f t="shared" si="1"/>
        <v>12</v>
      </c>
      <c r="F20" s="140"/>
      <c r="G20" s="11"/>
    </row>
    <row r="21" spans="1:7" x14ac:dyDescent="0.25">
      <c r="A21" s="280" t="s">
        <v>369</v>
      </c>
      <c r="B21" s="157" t="s">
        <v>95</v>
      </c>
      <c r="C21" s="75">
        <v>462.70861683745807</v>
      </c>
      <c r="D21" s="244">
        <f t="shared" si="0"/>
        <v>20</v>
      </c>
      <c r="E21" s="244">
        <f t="shared" si="1"/>
        <v>8</v>
      </c>
      <c r="F21" s="140"/>
      <c r="G21" s="11"/>
    </row>
    <row r="22" spans="1:7" x14ac:dyDescent="0.25">
      <c r="A22" s="280" t="s">
        <v>369</v>
      </c>
      <c r="B22" s="156" t="s">
        <v>98</v>
      </c>
      <c r="C22" s="74">
        <v>468.46456630901355</v>
      </c>
      <c r="D22" s="244">
        <f t="shared" si="0"/>
        <v>22</v>
      </c>
      <c r="E22" s="244">
        <f t="shared" si="1"/>
        <v>6</v>
      </c>
      <c r="F22" s="140"/>
      <c r="G22" s="11"/>
    </row>
    <row r="23" spans="1:7" x14ac:dyDescent="0.25">
      <c r="A23" s="280" t="s">
        <v>369</v>
      </c>
      <c r="B23" s="157" t="s">
        <v>90</v>
      </c>
      <c r="C23" s="75">
        <v>416.73187611491943</v>
      </c>
      <c r="D23" s="244">
        <f t="shared" si="0"/>
        <v>15</v>
      </c>
      <c r="E23" s="244">
        <f t="shared" si="1"/>
        <v>13</v>
      </c>
      <c r="F23" s="140"/>
      <c r="G23" s="11"/>
    </row>
    <row r="24" spans="1:7" x14ac:dyDescent="0.25">
      <c r="A24" s="280" t="s">
        <v>369</v>
      </c>
      <c r="B24" s="156" t="s">
        <v>91</v>
      </c>
      <c r="C24" s="74">
        <v>473.45667329999952</v>
      </c>
      <c r="D24" s="244">
        <f t="shared" si="0"/>
        <v>23</v>
      </c>
      <c r="E24" s="244">
        <f t="shared" si="1"/>
        <v>5</v>
      </c>
      <c r="F24" s="140"/>
      <c r="G24" s="11"/>
    </row>
    <row r="25" spans="1:7" x14ac:dyDescent="0.25">
      <c r="A25" s="280" t="s">
        <v>369</v>
      </c>
      <c r="B25" s="157" t="s">
        <v>92</v>
      </c>
      <c r="C25" s="75">
        <v>435.31057197755422</v>
      </c>
      <c r="D25" s="244">
        <f t="shared" si="0"/>
        <v>17</v>
      </c>
      <c r="E25" s="244">
        <f t="shared" si="1"/>
        <v>11</v>
      </c>
      <c r="F25" s="140"/>
      <c r="G25" s="11"/>
    </row>
    <row r="26" spans="1:7" x14ac:dyDescent="0.25">
      <c r="A26" s="280" t="s">
        <v>369</v>
      </c>
      <c r="B26" s="156" t="s">
        <v>93</v>
      </c>
      <c r="C26" s="74">
        <v>395.42739737186503</v>
      </c>
      <c r="D26" s="244">
        <f t="shared" si="0"/>
        <v>9</v>
      </c>
      <c r="E26" s="244">
        <f t="shared" si="1"/>
        <v>19</v>
      </c>
      <c r="F26" s="140"/>
      <c r="G26" s="11"/>
    </row>
    <row r="27" spans="1:7" x14ac:dyDescent="0.25">
      <c r="A27" s="280" t="s">
        <v>369</v>
      </c>
      <c r="B27" s="157" t="s">
        <v>81</v>
      </c>
      <c r="C27" s="75">
        <v>396.80623819920476</v>
      </c>
      <c r="D27" s="244">
        <f t="shared" si="0"/>
        <v>10</v>
      </c>
      <c r="E27" s="244">
        <f t="shared" si="1"/>
        <v>18</v>
      </c>
      <c r="F27" s="140"/>
      <c r="G27" s="11"/>
    </row>
    <row r="28" spans="1:7" x14ac:dyDescent="0.25">
      <c r="A28" s="280" t="s">
        <v>369</v>
      </c>
      <c r="B28" s="156" t="s">
        <v>99</v>
      </c>
      <c r="C28" s="74">
        <v>487.99248519322526</v>
      </c>
      <c r="D28" s="244">
        <f t="shared" si="0"/>
        <v>24</v>
      </c>
      <c r="E28" s="244">
        <f t="shared" si="1"/>
        <v>4</v>
      </c>
      <c r="F28" s="140"/>
      <c r="G28" s="11"/>
    </row>
    <row r="29" spans="1:7" x14ac:dyDescent="0.25">
      <c r="A29" s="281" t="s">
        <v>339</v>
      </c>
      <c r="B29" s="157" t="s">
        <v>79</v>
      </c>
      <c r="C29" s="75">
        <v>468.33341633309504</v>
      </c>
      <c r="D29" s="244">
        <f t="shared" si="0"/>
        <v>21</v>
      </c>
      <c r="E29" s="244">
        <f t="shared" si="1"/>
        <v>7</v>
      </c>
      <c r="F29" s="140"/>
      <c r="G29" s="11"/>
    </row>
    <row r="30" spans="1:7" x14ac:dyDescent="0.25">
      <c r="A30" s="281" t="s">
        <v>369</v>
      </c>
      <c r="B30" s="156" t="s">
        <v>84</v>
      </c>
      <c r="C30" s="74">
        <v>403.84137684493686</v>
      </c>
      <c r="D30" s="244">
        <f t="shared" si="0"/>
        <v>12</v>
      </c>
      <c r="E30" s="244">
        <f t="shared" si="1"/>
        <v>16</v>
      </c>
      <c r="F30" s="140"/>
      <c r="G30" s="11"/>
    </row>
    <row r="31" spans="1:7" x14ac:dyDescent="0.25">
      <c r="A31" s="281" t="s">
        <v>369</v>
      </c>
      <c r="B31" s="157" t="s">
        <v>85</v>
      </c>
      <c r="C31" s="75">
        <v>414.54700888023007</v>
      </c>
      <c r="D31" s="244">
        <f t="shared" si="0"/>
        <v>14</v>
      </c>
      <c r="E31" s="244">
        <f t="shared" si="1"/>
        <v>14</v>
      </c>
      <c r="F31" s="140"/>
      <c r="G31" s="11"/>
    </row>
    <row r="32" spans="1:7" x14ac:dyDescent="0.25">
      <c r="A32" s="281" t="s">
        <v>369</v>
      </c>
      <c r="B32" s="156" t="s">
        <v>100</v>
      </c>
      <c r="C32" s="74">
        <v>345.63553718434792</v>
      </c>
      <c r="D32" s="244">
        <f t="shared" si="0"/>
        <v>3</v>
      </c>
      <c r="E32" s="244">
        <f t="shared" si="1"/>
        <v>25</v>
      </c>
      <c r="F32" s="140"/>
      <c r="G32" s="11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Plan235"/>
  <dimension ref="A1:H32"/>
  <sheetViews>
    <sheetView showGridLines="0" workbookViewId="0">
      <selection activeCell="I4" sqref="I4"/>
    </sheetView>
  </sheetViews>
  <sheetFormatPr defaultRowHeight="15" x14ac:dyDescent="0.25"/>
  <cols>
    <col min="1" max="1" width="14.42578125" bestFit="1" customWidth="1"/>
    <col min="2" max="2" width="39.5703125" bestFit="1" customWidth="1"/>
    <col min="3" max="3" width="23.28515625" bestFit="1" customWidth="1"/>
  </cols>
  <sheetData>
    <row r="1" spans="1:8" x14ac:dyDescent="0.25">
      <c r="D1" s="78"/>
      <c r="E1" s="78"/>
      <c r="F1" s="78"/>
      <c r="G1" s="78" t="s">
        <v>1353</v>
      </c>
      <c r="H1" s="78" t="s">
        <v>1354</v>
      </c>
    </row>
    <row r="3" spans="1:8" x14ac:dyDescent="0.25">
      <c r="A3" s="350" t="str">
        <f>"Tabela Referente à "&amp;G1</f>
        <v>Tabela Referente à Figura 6.26</v>
      </c>
      <c r="B3" s="350"/>
      <c r="C3" s="350"/>
    </row>
    <row r="4" spans="1:8" ht="21.75" customHeight="1" x14ac:dyDescent="0.25">
      <c r="A4" s="352" t="str">
        <f>H1</f>
        <v>Variação da Tarifa Aérea Média Doméstica Real por UF, 2018/2017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824</v>
      </c>
    </row>
    <row r="6" spans="1:8" x14ac:dyDescent="0.25">
      <c r="A6" s="296" t="s">
        <v>343</v>
      </c>
      <c r="B6" s="156" t="s">
        <v>80</v>
      </c>
      <c r="C6" s="76">
        <v>6.3937740946121382E-2</v>
      </c>
      <c r="D6" s="78">
        <f>COUNTIF($C$6:$C$32,"&lt;=0")</f>
        <v>10</v>
      </c>
    </row>
    <row r="7" spans="1:8" x14ac:dyDescent="0.25">
      <c r="A7" s="296" t="s">
        <v>369</v>
      </c>
      <c r="B7" s="157" t="s">
        <v>78</v>
      </c>
      <c r="C7" s="77">
        <v>3.5403702211599782E-2</v>
      </c>
    </row>
    <row r="8" spans="1:8" x14ac:dyDescent="0.25">
      <c r="A8" s="296" t="s">
        <v>369</v>
      </c>
      <c r="B8" s="156" t="s">
        <v>82</v>
      </c>
      <c r="C8" s="76">
        <v>4.9884030385193873E-2</v>
      </c>
    </row>
    <row r="9" spans="1:8" x14ac:dyDescent="0.25">
      <c r="A9" s="297" t="s">
        <v>342</v>
      </c>
      <c r="B9" s="157" t="s">
        <v>76</v>
      </c>
      <c r="C9" s="77">
        <v>-2.5225227582189126E-2</v>
      </c>
    </row>
    <row r="10" spans="1:8" x14ac:dyDescent="0.25">
      <c r="A10" s="297" t="s">
        <v>369</v>
      </c>
      <c r="B10" s="156" t="s">
        <v>83</v>
      </c>
      <c r="C10" s="76">
        <v>5.3323818949976225E-2</v>
      </c>
    </row>
    <row r="11" spans="1:8" x14ac:dyDescent="0.25">
      <c r="A11" s="297" t="s">
        <v>369</v>
      </c>
      <c r="B11" s="157" t="s">
        <v>75</v>
      </c>
      <c r="C11" s="77">
        <v>4.9134230342116073E-2</v>
      </c>
    </row>
    <row r="12" spans="1:8" x14ac:dyDescent="0.25">
      <c r="A12" s="297" t="s">
        <v>369</v>
      </c>
      <c r="B12" s="156" t="s">
        <v>94</v>
      </c>
      <c r="C12" s="76">
        <v>3.7765468265798857E-3</v>
      </c>
    </row>
    <row r="13" spans="1:8" x14ac:dyDescent="0.25">
      <c r="A13" s="296" t="s">
        <v>341</v>
      </c>
      <c r="B13" s="157" t="s">
        <v>89</v>
      </c>
      <c r="C13" s="77">
        <v>7.1382250329557834E-2</v>
      </c>
    </row>
    <row r="14" spans="1:8" x14ac:dyDescent="0.25">
      <c r="A14" s="296" t="s">
        <v>369</v>
      </c>
      <c r="B14" s="156" t="s">
        <v>97</v>
      </c>
      <c r="C14" s="76">
        <v>2.6851635084713055E-2</v>
      </c>
    </row>
    <row r="15" spans="1:8" x14ac:dyDescent="0.25">
      <c r="A15" s="296" t="s">
        <v>369</v>
      </c>
      <c r="B15" s="157" t="s">
        <v>86</v>
      </c>
      <c r="C15" s="77">
        <v>-8.7903526764408796E-2</v>
      </c>
    </row>
    <row r="16" spans="1:8" x14ac:dyDescent="0.25">
      <c r="A16" s="296" t="s">
        <v>369</v>
      </c>
      <c r="B16" s="156" t="s">
        <v>77</v>
      </c>
      <c r="C16" s="76">
        <v>-9.7574100534401506E-2</v>
      </c>
    </row>
    <row r="17" spans="1:3" x14ac:dyDescent="0.25">
      <c r="A17" s="296" t="s">
        <v>369</v>
      </c>
      <c r="B17" s="157" t="s">
        <v>88</v>
      </c>
      <c r="C17" s="77">
        <v>6.961592829289906E-2</v>
      </c>
    </row>
    <row r="18" spans="1:3" x14ac:dyDescent="0.25">
      <c r="A18" s="296" t="s">
        <v>369</v>
      </c>
      <c r="B18" s="156" t="s">
        <v>74</v>
      </c>
      <c r="C18" s="76">
        <v>-5.4203847664629726E-2</v>
      </c>
    </row>
    <row r="19" spans="1:3" x14ac:dyDescent="0.25">
      <c r="A19" s="296" t="s">
        <v>369</v>
      </c>
      <c r="B19" s="157" t="s">
        <v>87</v>
      </c>
      <c r="C19" s="77">
        <v>-0.11552000053083987</v>
      </c>
    </row>
    <row r="20" spans="1:3" x14ac:dyDescent="0.25">
      <c r="A20" s="295" t="s">
        <v>340</v>
      </c>
      <c r="B20" s="156" t="s">
        <v>96</v>
      </c>
      <c r="C20" s="76">
        <v>6.8871205144417705E-2</v>
      </c>
    </row>
    <row r="21" spans="1:3" x14ac:dyDescent="0.25">
      <c r="A21" s="295" t="s">
        <v>369</v>
      </c>
      <c r="B21" s="157" t="s">
        <v>95</v>
      </c>
      <c r="C21" s="77">
        <v>-2.570380789972098E-2</v>
      </c>
    </row>
    <row r="22" spans="1:3" x14ac:dyDescent="0.25">
      <c r="A22" s="295" t="s">
        <v>369</v>
      </c>
      <c r="B22" s="156" t="s">
        <v>98</v>
      </c>
      <c r="C22" s="76">
        <v>1.5545863418409581E-2</v>
      </c>
    </row>
    <row r="23" spans="1:3" x14ac:dyDescent="0.25">
      <c r="A23" s="295" t="s">
        <v>369</v>
      </c>
      <c r="B23" s="157" t="s">
        <v>90</v>
      </c>
      <c r="C23" s="77">
        <v>3.0115861591103847E-2</v>
      </c>
    </row>
    <row r="24" spans="1:3" x14ac:dyDescent="0.25">
      <c r="A24" s="295" t="s">
        <v>369</v>
      </c>
      <c r="B24" s="156" t="s">
        <v>91</v>
      </c>
      <c r="C24" s="76">
        <v>-2.9960442383897685E-2</v>
      </c>
    </row>
    <row r="25" spans="1:3" x14ac:dyDescent="0.25">
      <c r="A25" s="295" t="s">
        <v>369</v>
      </c>
      <c r="B25" s="157" t="s">
        <v>92</v>
      </c>
      <c r="C25" s="77">
        <v>4.1568980679162343E-2</v>
      </c>
    </row>
    <row r="26" spans="1:3" x14ac:dyDescent="0.25">
      <c r="A26" s="295" t="s">
        <v>369</v>
      </c>
      <c r="B26" s="156" t="s">
        <v>93</v>
      </c>
      <c r="C26" s="76">
        <v>-6.5554713756478797E-2</v>
      </c>
    </row>
    <row r="27" spans="1:3" x14ac:dyDescent="0.25">
      <c r="A27" s="295" t="s">
        <v>369</v>
      </c>
      <c r="B27" s="157" t="s">
        <v>81</v>
      </c>
      <c r="C27" s="77">
        <v>6.7827171815301804E-2</v>
      </c>
    </row>
    <row r="28" spans="1:3" x14ac:dyDescent="0.25">
      <c r="A28" s="295" t="s">
        <v>369</v>
      </c>
      <c r="B28" s="156" t="s">
        <v>99</v>
      </c>
      <c r="C28" s="76">
        <v>5.5948900167109336E-2</v>
      </c>
    </row>
    <row r="29" spans="1:3" x14ac:dyDescent="0.25">
      <c r="A29" s="296" t="s">
        <v>339</v>
      </c>
      <c r="B29" s="157" t="s">
        <v>79</v>
      </c>
      <c r="C29" s="77">
        <v>-3.8437837559635618E-2</v>
      </c>
    </row>
    <row r="30" spans="1:3" x14ac:dyDescent="0.25">
      <c r="A30" s="296" t="s">
        <v>369</v>
      </c>
      <c r="B30" s="156" t="s">
        <v>84</v>
      </c>
      <c r="C30" s="76">
        <v>1.729195832854144E-2</v>
      </c>
    </row>
    <row r="31" spans="1:3" x14ac:dyDescent="0.25">
      <c r="A31" s="296" t="s">
        <v>369</v>
      </c>
      <c r="B31" s="157" t="s">
        <v>85</v>
      </c>
      <c r="C31" s="77">
        <v>2.4507192486242332E-2</v>
      </c>
    </row>
    <row r="32" spans="1:3" x14ac:dyDescent="0.25">
      <c r="A32" s="296" t="s">
        <v>369</v>
      </c>
      <c r="B32" s="156" t="s">
        <v>100</v>
      </c>
      <c r="C32" s="76">
        <v>-6.3545324665652547E-2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Plan226"/>
  <dimension ref="A1:H32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39.5703125" bestFit="1" customWidth="1"/>
    <col min="3" max="3" width="23.28515625" bestFit="1" customWidth="1"/>
  </cols>
  <sheetData>
    <row r="1" spans="1:8" x14ac:dyDescent="0.25">
      <c r="D1" s="78"/>
      <c r="E1" s="78"/>
      <c r="F1" s="78"/>
      <c r="G1" s="78" t="s">
        <v>1355</v>
      </c>
      <c r="H1" s="78" t="s">
        <v>1356</v>
      </c>
    </row>
    <row r="3" spans="1:8" x14ac:dyDescent="0.25">
      <c r="A3" s="350" t="str">
        <f>"Tabela Referente à "&amp;G1</f>
        <v>Tabela Referente à Figura 6.27</v>
      </c>
      <c r="B3" s="350"/>
      <c r="C3" s="350"/>
    </row>
    <row r="4" spans="1:8" ht="21.75" customHeight="1" x14ac:dyDescent="0.25">
      <c r="A4" s="352" t="str">
        <f>H1</f>
        <v>Variação da Tarifa Aérea Média Doméstica Real por UF, 2018/2011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668</v>
      </c>
    </row>
    <row r="6" spans="1:8" x14ac:dyDescent="0.25">
      <c r="A6" s="296" t="s">
        <v>343</v>
      </c>
      <c r="B6" s="156" t="s">
        <v>80</v>
      </c>
      <c r="C6" s="76">
        <v>-7.2009603968955005E-2</v>
      </c>
      <c r="D6" s="78">
        <f>COUNTIF($C$6:$C$32,"&lt;=0")</f>
        <v>22</v>
      </c>
    </row>
    <row r="7" spans="1:8" x14ac:dyDescent="0.25">
      <c r="A7" s="296" t="s">
        <v>369</v>
      </c>
      <c r="B7" s="157" t="s">
        <v>78</v>
      </c>
      <c r="C7" s="77">
        <v>1.5837165908500081E-2</v>
      </c>
    </row>
    <row r="8" spans="1:8" x14ac:dyDescent="0.25">
      <c r="A8" s="296" t="s">
        <v>369</v>
      </c>
      <c r="B8" s="156" t="s">
        <v>82</v>
      </c>
      <c r="C8" s="76">
        <v>5.2033426866015371E-2</v>
      </c>
    </row>
    <row r="9" spans="1:8" x14ac:dyDescent="0.25">
      <c r="A9" s="297" t="s">
        <v>342</v>
      </c>
      <c r="B9" s="157" t="s">
        <v>76</v>
      </c>
      <c r="C9" s="77">
        <v>-0.13105637708939247</v>
      </c>
    </row>
    <row r="10" spans="1:8" x14ac:dyDescent="0.25">
      <c r="A10" s="297" t="s">
        <v>369</v>
      </c>
      <c r="B10" s="156" t="s">
        <v>83</v>
      </c>
      <c r="C10" s="76">
        <v>-0.15841212329948004</v>
      </c>
    </row>
    <row r="11" spans="1:8" x14ac:dyDescent="0.25">
      <c r="A11" s="297" t="s">
        <v>369</v>
      </c>
      <c r="B11" s="157" t="s">
        <v>75</v>
      </c>
      <c r="C11" s="77">
        <v>7.3723914860386291E-2</v>
      </c>
    </row>
    <row r="12" spans="1:8" x14ac:dyDescent="0.25">
      <c r="A12" s="297" t="s">
        <v>369</v>
      </c>
      <c r="B12" s="156" t="s">
        <v>94</v>
      </c>
      <c r="C12" s="76">
        <v>-0.14064387578112789</v>
      </c>
    </row>
    <row r="13" spans="1:8" x14ac:dyDescent="0.25">
      <c r="A13" s="296" t="s">
        <v>341</v>
      </c>
      <c r="B13" s="157" t="s">
        <v>89</v>
      </c>
      <c r="C13" s="77">
        <v>-8.428122505968412E-2</v>
      </c>
    </row>
    <row r="14" spans="1:8" x14ac:dyDescent="0.25">
      <c r="A14" s="296" t="s">
        <v>369</v>
      </c>
      <c r="B14" s="156" t="s">
        <v>97</v>
      </c>
      <c r="C14" s="76">
        <v>-2.3350231236555549E-2</v>
      </c>
    </row>
    <row r="15" spans="1:8" x14ac:dyDescent="0.25">
      <c r="A15" s="296" t="s">
        <v>369</v>
      </c>
      <c r="B15" s="157" t="s">
        <v>86</v>
      </c>
      <c r="C15" s="77">
        <v>-6.9944018233907071E-2</v>
      </c>
    </row>
    <row r="16" spans="1:8" x14ac:dyDescent="0.25">
      <c r="A16" s="296" t="s">
        <v>369</v>
      </c>
      <c r="B16" s="156" t="s">
        <v>77</v>
      </c>
      <c r="C16" s="76">
        <v>-0.30873876948661705</v>
      </c>
    </row>
    <row r="17" spans="1:3" x14ac:dyDescent="0.25">
      <c r="A17" s="296" t="s">
        <v>369</v>
      </c>
      <c r="B17" s="157" t="s">
        <v>88</v>
      </c>
      <c r="C17" s="77">
        <v>-0.15476567332784691</v>
      </c>
    </row>
    <row r="18" spans="1:3" x14ac:dyDescent="0.25">
      <c r="A18" s="296" t="s">
        <v>369</v>
      </c>
      <c r="B18" s="156" t="s">
        <v>74</v>
      </c>
      <c r="C18" s="76">
        <v>-0.2559578445069921</v>
      </c>
    </row>
    <row r="19" spans="1:3" x14ac:dyDescent="0.25">
      <c r="A19" s="296" t="s">
        <v>369</v>
      </c>
      <c r="B19" s="157" t="s">
        <v>87</v>
      </c>
      <c r="C19" s="77">
        <v>-0.16406207739035875</v>
      </c>
    </row>
    <row r="20" spans="1:3" x14ac:dyDescent="0.25">
      <c r="A20" s="295" t="s">
        <v>340</v>
      </c>
      <c r="B20" s="156" t="s">
        <v>96</v>
      </c>
      <c r="C20" s="76">
        <v>-0.15613961350518898</v>
      </c>
    </row>
    <row r="21" spans="1:3" x14ac:dyDescent="0.25">
      <c r="A21" s="295" t="s">
        <v>369</v>
      </c>
      <c r="B21" s="157" t="s">
        <v>95</v>
      </c>
      <c r="C21" s="77">
        <v>-0.11748827216258383</v>
      </c>
    </row>
    <row r="22" spans="1:3" x14ac:dyDescent="0.25">
      <c r="A22" s="295" t="s">
        <v>369</v>
      </c>
      <c r="B22" s="156" t="s">
        <v>98</v>
      </c>
      <c r="C22" s="76">
        <v>-8.7476577407284553E-2</v>
      </c>
    </row>
    <row r="23" spans="1:3" x14ac:dyDescent="0.25">
      <c r="A23" s="295" t="s">
        <v>369</v>
      </c>
      <c r="B23" s="157" t="s">
        <v>90</v>
      </c>
      <c r="C23" s="77">
        <v>-0.16871656229750459</v>
      </c>
    </row>
    <row r="24" spans="1:3" x14ac:dyDescent="0.25">
      <c r="A24" s="295" t="s">
        <v>369</v>
      </c>
      <c r="B24" s="156" t="s">
        <v>91</v>
      </c>
      <c r="C24" s="76">
        <v>-0.13467776419433564</v>
      </c>
    </row>
    <row r="25" spans="1:3" x14ac:dyDescent="0.25">
      <c r="A25" s="295" t="s">
        <v>369</v>
      </c>
      <c r="B25" s="157" t="s">
        <v>92</v>
      </c>
      <c r="C25" s="77">
        <v>-0.19398597691450228</v>
      </c>
    </row>
    <row r="26" spans="1:3" x14ac:dyDescent="0.25">
      <c r="A26" s="295" t="s">
        <v>369</v>
      </c>
      <c r="B26" s="156" t="s">
        <v>93</v>
      </c>
      <c r="C26" s="76">
        <v>-0.21246249317390484</v>
      </c>
    </row>
    <row r="27" spans="1:3" x14ac:dyDescent="0.25">
      <c r="A27" s="295" t="s">
        <v>369</v>
      </c>
      <c r="B27" s="157" t="s">
        <v>81</v>
      </c>
      <c r="C27" s="77">
        <v>1.0899750203909446E-2</v>
      </c>
    </row>
    <row r="28" spans="1:3" x14ac:dyDescent="0.25">
      <c r="A28" s="295" t="s">
        <v>369</v>
      </c>
      <c r="B28" s="156" t="s">
        <v>99</v>
      </c>
      <c r="C28" s="76">
        <v>-2.8327278935592261E-2</v>
      </c>
    </row>
    <row r="29" spans="1:3" x14ac:dyDescent="0.25">
      <c r="A29" s="296" t="s">
        <v>339</v>
      </c>
      <c r="B29" s="157" t="s">
        <v>79</v>
      </c>
      <c r="C29" s="77">
        <v>-5.604701028926423E-3</v>
      </c>
    </row>
    <row r="30" spans="1:3" x14ac:dyDescent="0.25">
      <c r="A30" s="296" t="s">
        <v>369</v>
      </c>
      <c r="B30" s="156" t="s">
        <v>84</v>
      </c>
      <c r="C30" s="76">
        <v>1.7624187962233797E-3</v>
      </c>
    </row>
    <row r="31" spans="1:3" x14ac:dyDescent="0.25">
      <c r="A31" s="296" t="s">
        <v>369</v>
      </c>
      <c r="B31" s="157" t="s">
        <v>85</v>
      </c>
      <c r="C31" s="77">
        <v>-6.1072021336651572E-2</v>
      </c>
    </row>
    <row r="32" spans="1:3" x14ac:dyDescent="0.25">
      <c r="A32" s="296" t="s">
        <v>369</v>
      </c>
      <c r="B32" s="156" t="s">
        <v>100</v>
      </c>
      <c r="C32" s="76">
        <v>-0.17375735071272894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Plan224"/>
  <dimension ref="A1:H32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6.85546875" customWidth="1"/>
    <col min="3" max="3" width="41.5703125" customWidth="1"/>
    <col min="4" max="4" width="11.42578125" customWidth="1"/>
    <col min="5" max="5" width="12" bestFit="1" customWidth="1"/>
  </cols>
  <sheetData>
    <row r="1" spans="1:8" x14ac:dyDescent="0.25">
      <c r="D1" s="78"/>
      <c r="E1" s="78"/>
      <c r="F1" s="78" t="s">
        <v>331</v>
      </c>
      <c r="G1" s="78" t="s">
        <v>1357</v>
      </c>
      <c r="H1" s="78" t="s">
        <v>1358</v>
      </c>
    </row>
    <row r="3" spans="1:8" x14ac:dyDescent="0.25">
      <c r="A3" s="350" t="str">
        <f>"Tabela Referente à "&amp;G1</f>
        <v>Tabela Referente à Figura 6.28</v>
      </c>
      <c r="B3" s="350"/>
      <c r="C3" s="350"/>
    </row>
    <row r="4" spans="1:8" ht="32.25" customHeight="1" x14ac:dyDescent="0.25">
      <c r="A4" s="352" t="str">
        <f>H1</f>
        <v>Percentual de assentos comercializados a tarifas inferiores a R$ 100,00 por UF, 2018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434</v>
      </c>
      <c r="D5" s="78" t="s">
        <v>533</v>
      </c>
      <c r="E5" s="78" t="s">
        <v>534</v>
      </c>
    </row>
    <row r="6" spans="1:8" x14ac:dyDescent="0.25">
      <c r="A6" s="284" t="s">
        <v>343</v>
      </c>
      <c r="B6" s="156" t="s">
        <v>80</v>
      </c>
      <c r="C6" s="76">
        <v>5.3776723996030382E-2</v>
      </c>
      <c r="D6" s="244">
        <f>_xlfn.RANK.AVG($C6,$C$6:$C$32,1)</f>
        <v>16</v>
      </c>
      <c r="E6" s="244">
        <f>_xlfn.RANK.AVG($C6,$C$6:$C$32,0)</f>
        <v>12</v>
      </c>
    </row>
    <row r="7" spans="1:8" x14ac:dyDescent="0.25">
      <c r="A7" s="284" t="s">
        <v>369</v>
      </c>
      <c r="B7" s="157" t="s">
        <v>78</v>
      </c>
      <c r="C7" s="77">
        <v>4.7535516855727752E-2</v>
      </c>
      <c r="D7" s="244">
        <f t="shared" ref="D7:D32" si="0">_xlfn.RANK.AVG($C7,$C$6:$C$32,1)</f>
        <v>15</v>
      </c>
      <c r="E7" s="244">
        <f t="shared" ref="E7:E32" si="1">_xlfn.RANK.AVG($C7,$C$6:$C$32,0)</f>
        <v>13</v>
      </c>
    </row>
    <row r="8" spans="1:8" x14ac:dyDescent="0.25">
      <c r="A8" s="284" t="s">
        <v>369</v>
      </c>
      <c r="B8" s="156" t="s">
        <v>82</v>
      </c>
      <c r="C8" s="76">
        <v>7.495708616626956E-2</v>
      </c>
      <c r="D8" s="244">
        <f t="shared" si="0"/>
        <v>23</v>
      </c>
      <c r="E8" s="244">
        <f t="shared" si="1"/>
        <v>5</v>
      </c>
    </row>
    <row r="9" spans="1:8" x14ac:dyDescent="0.25">
      <c r="A9" s="285" t="s">
        <v>342</v>
      </c>
      <c r="B9" s="157" t="s">
        <v>76</v>
      </c>
      <c r="C9" s="77">
        <v>9.4648296507555171E-2</v>
      </c>
      <c r="D9" s="244">
        <f t="shared" si="0"/>
        <v>26</v>
      </c>
      <c r="E9" s="244">
        <f t="shared" si="1"/>
        <v>2</v>
      </c>
    </row>
    <row r="10" spans="1:8" x14ac:dyDescent="0.25">
      <c r="A10" s="285" t="s">
        <v>369</v>
      </c>
      <c r="B10" s="156" t="s">
        <v>83</v>
      </c>
      <c r="C10" s="76">
        <v>9.2528368080289483E-2</v>
      </c>
      <c r="D10" s="244">
        <f t="shared" si="0"/>
        <v>25</v>
      </c>
      <c r="E10" s="244">
        <f t="shared" si="1"/>
        <v>3</v>
      </c>
    </row>
    <row r="11" spans="1:8" x14ac:dyDescent="0.25">
      <c r="A11" s="285" t="s">
        <v>369</v>
      </c>
      <c r="B11" s="157" t="s">
        <v>75</v>
      </c>
      <c r="C11" s="77">
        <v>8.9381927344254583E-2</v>
      </c>
      <c r="D11" s="244">
        <f t="shared" si="0"/>
        <v>24</v>
      </c>
      <c r="E11" s="244">
        <f t="shared" si="1"/>
        <v>4</v>
      </c>
    </row>
    <row r="12" spans="1:8" x14ac:dyDescent="0.25">
      <c r="A12" s="285" t="s">
        <v>369</v>
      </c>
      <c r="B12" s="156" t="s">
        <v>94</v>
      </c>
      <c r="C12" s="76">
        <v>6.6885370317832551E-2</v>
      </c>
      <c r="D12" s="244">
        <f t="shared" si="0"/>
        <v>20</v>
      </c>
      <c r="E12" s="244">
        <f t="shared" si="1"/>
        <v>8</v>
      </c>
    </row>
    <row r="13" spans="1:8" x14ac:dyDescent="0.25">
      <c r="A13" s="284" t="s">
        <v>341</v>
      </c>
      <c r="B13" s="157" t="s">
        <v>89</v>
      </c>
      <c r="C13" s="77">
        <v>6.1129249442015754E-2</v>
      </c>
      <c r="D13" s="244">
        <f t="shared" si="0"/>
        <v>19</v>
      </c>
      <c r="E13" s="244">
        <f t="shared" si="1"/>
        <v>9</v>
      </c>
    </row>
    <row r="14" spans="1:8" x14ac:dyDescent="0.25">
      <c r="A14" s="284" t="s">
        <v>369</v>
      </c>
      <c r="B14" s="156" t="s">
        <v>97</v>
      </c>
      <c r="C14" s="76">
        <v>2.9634049323786795E-2</v>
      </c>
      <c r="D14" s="244">
        <f t="shared" si="0"/>
        <v>12</v>
      </c>
      <c r="E14" s="244">
        <f t="shared" si="1"/>
        <v>16</v>
      </c>
    </row>
    <row r="15" spans="1:8" x14ac:dyDescent="0.25">
      <c r="A15" s="284" t="s">
        <v>369</v>
      </c>
      <c r="B15" s="157" t="s">
        <v>86</v>
      </c>
      <c r="C15" s="77">
        <v>1.0842429834199419E-2</v>
      </c>
      <c r="D15" s="244">
        <f t="shared" si="0"/>
        <v>3</v>
      </c>
      <c r="E15" s="244">
        <f t="shared" si="1"/>
        <v>25</v>
      </c>
    </row>
    <row r="16" spans="1:8" x14ac:dyDescent="0.25">
      <c r="A16" s="284" t="s">
        <v>369</v>
      </c>
      <c r="B16" s="156" t="s">
        <v>77</v>
      </c>
      <c r="C16" s="76">
        <v>2.9493143022686782E-2</v>
      </c>
      <c r="D16" s="244">
        <f t="shared" si="0"/>
        <v>11</v>
      </c>
      <c r="E16" s="244">
        <f t="shared" si="1"/>
        <v>17</v>
      </c>
    </row>
    <row r="17" spans="1:5" x14ac:dyDescent="0.25">
      <c r="A17" s="284" t="s">
        <v>369</v>
      </c>
      <c r="B17" s="157" t="s">
        <v>88</v>
      </c>
      <c r="C17" s="77">
        <v>3.0138703734626113E-2</v>
      </c>
      <c r="D17" s="244">
        <f t="shared" si="0"/>
        <v>13</v>
      </c>
      <c r="E17" s="244">
        <f t="shared" si="1"/>
        <v>15</v>
      </c>
    </row>
    <row r="18" spans="1:5" x14ac:dyDescent="0.25">
      <c r="A18" s="284" t="s">
        <v>369</v>
      </c>
      <c r="B18" s="156" t="s">
        <v>74</v>
      </c>
      <c r="C18" s="76">
        <v>1.9326264835958382E-2</v>
      </c>
      <c r="D18" s="244">
        <f t="shared" si="0"/>
        <v>7</v>
      </c>
      <c r="E18" s="244">
        <f t="shared" si="1"/>
        <v>21</v>
      </c>
    </row>
    <row r="19" spans="1:5" x14ac:dyDescent="0.25">
      <c r="A19" s="284" t="s">
        <v>369</v>
      </c>
      <c r="B19" s="157" t="s">
        <v>87</v>
      </c>
      <c r="C19" s="77">
        <v>1.9732158319062554E-2</v>
      </c>
      <c r="D19" s="244">
        <f t="shared" si="0"/>
        <v>8</v>
      </c>
      <c r="E19" s="244">
        <f t="shared" si="1"/>
        <v>20</v>
      </c>
    </row>
    <row r="20" spans="1:5" x14ac:dyDescent="0.25">
      <c r="A20" s="283" t="s">
        <v>340</v>
      </c>
      <c r="B20" s="156" t="s">
        <v>96</v>
      </c>
      <c r="C20" s="76">
        <v>5.8112435658836748E-3</v>
      </c>
      <c r="D20" s="244">
        <f t="shared" si="0"/>
        <v>2</v>
      </c>
      <c r="E20" s="244">
        <f t="shared" si="1"/>
        <v>26</v>
      </c>
    </row>
    <row r="21" spans="1:5" x14ac:dyDescent="0.25">
      <c r="A21" s="283" t="s">
        <v>369</v>
      </c>
      <c r="B21" s="157" t="s">
        <v>95</v>
      </c>
      <c r="C21" s="77">
        <v>5.7312452911419655E-2</v>
      </c>
      <c r="D21" s="244">
        <f t="shared" si="0"/>
        <v>18</v>
      </c>
      <c r="E21" s="244">
        <f t="shared" si="1"/>
        <v>10</v>
      </c>
    </row>
    <row r="22" spans="1:5" x14ac:dyDescent="0.25">
      <c r="A22" s="283" t="s">
        <v>369</v>
      </c>
      <c r="B22" s="156" t="s">
        <v>98</v>
      </c>
      <c r="C22" s="76">
        <v>5.5904541540257265E-2</v>
      </c>
      <c r="D22" s="244">
        <f t="shared" si="0"/>
        <v>17</v>
      </c>
      <c r="E22" s="244">
        <f t="shared" si="1"/>
        <v>11</v>
      </c>
    </row>
    <row r="23" spans="1:5" x14ac:dyDescent="0.25">
      <c r="A23" s="283" t="s">
        <v>369</v>
      </c>
      <c r="B23" s="157" t="s">
        <v>90</v>
      </c>
      <c r="C23" s="77">
        <v>2.0404731032643279E-2</v>
      </c>
      <c r="D23" s="244">
        <f t="shared" si="0"/>
        <v>9</v>
      </c>
      <c r="E23" s="244">
        <f t="shared" si="1"/>
        <v>19</v>
      </c>
    </row>
    <row r="24" spans="1:5" x14ac:dyDescent="0.25">
      <c r="A24" s="283" t="s">
        <v>369</v>
      </c>
      <c r="B24" s="156" t="s">
        <v>91</v>
      </c>
      <c r="C24" s="76">
        <v>1.0936856586680642E-2</v>
      </c>
      <c r="D24" s="244">
        <f t="shared" si="0"/>
        <v>4</v>
      </c>
      <c r="E24" s="244">
        <f t="shared" si="1"/>
        <v>24</v>
      </c>
    </row>
    <row r="25" spans="1:5" x14ac:dyDescent="0.25">
      <c r="A25" s="283" t="s">
        <v>369</v>
      </c>
      <c r="B25" s="157" t="s">
        <v>92</v>
      </c>
      <c r="C25" s="77">
        <v>7.321360403244026E-2</v>
      </c>
      <c r="D25" s="244">
        <f t="shared" si="0"/>
        <v>22</v>
      </c>
      <c r="E25" s="244">
        <f t="shared" si="1"/>
        <v>6</v>
      </c>
    </row>
    <row r="26" spans="1:5" x14ac:dyDescent="0.25">
      <c r="A26" s="283" t="s">
        <v>369</v>
      </c>
      <c r="B26" s="156" t="s">
        <v>93</v>
      </c>
      <c r="C26" s="76">
        <v>6.7935743843802812E-2</v>
      </c>
      <c r="D26" s="244">
        <f t="shared" si="0"/>
        <v>21</v>
      </c>
      <c r="E26" s="244">
        <f t="shared" si="1"/>
        <v>7</v>
      </c>
    </row>
    <row r="27" spans="1:5" x14ac:dyDescent="0.25">
      <c r="A27" s="283" t="s">
        <v>369</v>
      </c>
      <c r="B27" s="157" t="s">
        <v>81</v>
      </c>
      <c r="C27" s="77">
        <v>1.2942168072511921E-2</v>
      </c>
      <c r="D27" s="244">
        <f t="shared" si="0"/>
        <v>5</v>
      </c>
      <c r="E27" s="244">
        <f t="shared" si="1"/>
        <v>23</v>
      </c>
    </row>
    <row r="28" spans="1:5" x14ac:dyDescent="0.25">
      <c r="A28" s="283" t="s">
        <v>369</v>
      </c>
      <c r="B28" s="156" t="s">
        <v>99</v>
      </c>
      <c r="C28" s="76">
        <v>2.2460035898565463E-3</v>
      </c>
      <c r="D28" s="244">
        <f t="shared" si="0"/>
        <v>1</v>
      </c>
      <c r="E28" s="244">
        <f t="shared" si="1"/>
        <v>27</v>
      </c>
    </row>
    <row r="29" spans="1:5" x14ac:dyDescent="0.25">
      <c r="A29" s="284" t="s">
        <v>339</v>
      </c>
      <c r="B29" s="157" t="s">
        <v>79</v>
      </c>
      <c r="C29" s="77">
        <v>1.319865863888923E-2</v>
      </c>
      <c r="D29" s="244">
        <f t="shared" si="0"/>
        <v>6</v>
      </c>
      <c r="E29" s="244">
        <f t="shared" si="1"/>
        <v>22</v>
      </c>
    </row>
    <row r="30" spans="1:5" x14ac:dyDescent="0.25">
      <c r="A30" s="284" t="s">
        <v>369</v>
      </c>
      <c r="B30" s="156" t="s">
        <v>84</v>
      </c>
      <c r="C30" s="76">
        <v>3.0155484902067466E-2</v>
      </c>
      <c r="D30" s="244">
        <f t="shared" si="0"/>
        <v>14</v>
      </c>
      <c r="E30" s="244">
        <f t="shared" si="1"/>
        <v>14</v>
      </c>
    </row>
    <row r="31" spans="1:5" x14ac:dyDescent="0.25">
      <c r="A31" s="284" t="s">
        <v>369</v>
      </c>
      <c r="B31" s="157" t="s">
        <v>85</v>
      </c>
      <c r="C31" s="77">
        <v>2.3020256637465351E-2</v>
      </c>
      <c r="D31" s="244">
        <f t="shared" si="0"/>
        <v>10</v>
      </c>
      <c r="E31" s="244">
        <f t="shared" si="1"/>
        <v>18</v>
      </c>
    </row>
    <row r="32" spans="1:5" x14ac:dyDescent="0.25">
      <c r="A32" s="284" t="s">
        <v>369</v>
      </c>
      <c r="B32" s="156" t="s">
        <v>100</v>
      </c>
      <c r="C32" s="76">
        <v>0.10384366258736007</v>
      </c>
      <c r="D32" s="244">
        <f t="shared" si="0"/>
        <v>27</v>
      </c>
      <c r="E32" s="244">
        <f t="shared" si="1"/>
        <v>1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20"/>
  <dimension ref="A1:H13"/>
  <sheetViews>
    <sheetView showGridLines="0" workbookViewId="0">
      <selection activeCell="O14" sqref="O14"/>
    </sheetView>
  </sheetViews>
  <sheetFormatPr defaultRowHeight="15" x14ac:dyDescent="0.25"/>
  <cols>
    <col min="1" max="1" width="11.42578125" bestFit="1" customWidth="1"/>
    <col min="2" max="2" width="49.140625" customWidth="1"/>
  </cols>
  <sheetData>
    <row r="1" spans="1:8" x14ac:dyDescent="0.25">
      <c r="C1" s="78"/>
      <c r="D1" s="78"/>
      <c r="E1" s="78"/>
      <c r="F1" s="78"/>
      <c r="G1" s="78" t="s">
        <v>404</v>
      </c>
      <c r="H1" s="78" t="s">
        <v>1137</v>
      </c>
    </row>
    <row r="3" spans="1:8" x14ac:dyDescent="0.25">
      <c r="A3" s="350" t="str">
        <f>"Tabela Referente à "&amp;G1</f>
        <v>Tabela Referente à Figura 2.7</v>
      </c>
      <c r="B3" s="350"/>
    </row>
    <row r="4" spans="1:8" ht="29.25" customHeight="1" x14ac:dyDescent="0.25">
      <c r="A4" s="351" t="str">
        <f>H1</f>
        <v>Participação das quatro principais empresas no número de voos – mercado doméstico, 2018</v>
      </c>
      <c r="B4" s="351"/>
    </row>
    <row r="5" spans="1:8" x14ac:dyDescent="0.25">
      <c r="A5" s="1" t="s">
        <v>7</v>
      </c>
      <c r="B5" s="21" t="s">
        <v>569</v>
      </c>
    </row>
    <row r="6" spans="1:8" x14ac:dyDescent="0.25">
      <c r="A6" s="27" t="s">
        <v>60</v>
      </c>
      <c r="B6" s="7">
        <v>251333</v>
      </c>
      <c r="C6" s="78" t="s">
        <v>372</v>
      </c>
    </row>
    <row r="7" spans="1:8" x14ac:dyDescent="0.25">
      <c r="A7" s="28" t="s">
        <v>59</v>
      </c>
      <c r="B7" s="8">
        <v>235852</v>
      </c>
      <c r="C7" s="78" t="s">
        <v>526</v>
      </c>
    </row>
    <row r="8" spans="1:8" x14ac:dyDescent="0.25">
      <c r="A8" s="27" t="s">
        <v>526</v>
      </c>
      <c r="B8" s="7">
        <v>202375</v>
      </c>
      <c r="C8" s="78" t="s">
        <v>373</v>
      </c>
    </row>
    <row r="9" spans="1:8" x14ac:dyDescent="0.25">
      <c r="A9" s="28" t="s">
        <v>61</v>
      </c>
      <c r="B9" s="8">
        <v>91979</v>
      </c>
      <c r="C9" s="78" t="s">
        <v>375</v>
      </c>
    </row>
    <row r="10" spans="1:8" x14ac:dyDescent="0.25">
      <c r="A10" s="27" t="s">
        <v>6</v>
      </c>
      <c r="B10" s="7">
        <v>34323</v>
      </c>
      <c r="C10" s="78" t="s">
        <v>374</v>
      </c>
    </row>
    <row r="11" spans="1:8" x14ac:dyDescent="0.25">
      <c r="A11" s="1" t="s">
        <v>10</v>
      </c>
      <c r="B11" s="60">
        <v>815862</v>
      </c>
      <c r="C11" s="145" t="e">
        <f>B10+#REF!</f>
        <v>#REF!</v>
      </c>
    </row>
    <row r="13" spans="1:8" x14ac:dyDescent="0.25">
      <c r="C13" s="78" t="str">
        <f>TEXT(B11,"#.###")&amp;" voos"</f>
        <v>815.862 voos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Plan223"/>
  <dimension ref="A1:H34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6.85546875" customWidth="1"/>
    <col min="3" max="3" width="41.5703125" customWidth="1"/>
    <col min="4" max="4" width="11.42578125" customWidth="1"/>
    <col min="5" max="5" width="12" bestFit="1" customWidth="1"/>
    <col min="6" max="6" width="12.42578125" bestFit="1" customWidth="1"/>
  </cols>
  <sheetData>
    <row r="1" spans="1:8" x14ac:dyDescent="0.25">
      <c r="D1" s="78"/>
      <c r="E1" s="78"/>
      <c r="F1" s="78"/>
      <c r="G1" s="78" t="s">
        <v>1359</v>
      </c>
      <c r="H1" s="78" t="s">
        <v>1360</v>
      </c>
    </row>
    <row r="3" spans="1:8" x14ac:dyDescent="0.25">
      <c r="A3" s="356" t="str">
        <f>"Tabela Referente à "&amp;G1</f>
        <v>Tabela Referente à Figura 6.29</v>
      </c>
      <c r="B3" s="356"/>
      <c r="C3" s="356"/>
    </row>
    <row r="4" spans="1:8" ht="32.25" customHeight="1" x14ac:dyDescent="0.25">
      <c r="A4" s="352" t="str">
        <f>H1</f>
        <v>Percentual de assentos comercializados a tarifas inferiores a R$ 300,00 por UF, 2018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433</v>
      </c>
      <c r="D5" s="78" t="s">
        <v>533</v>
      </c>
      <c r="E5" s="78" t="s">
        <v>534</v>
      </c>
      <c r="F5" s="78" t="s">
        <v>535</v>
      </c>
    </row>
    <row r="6" spans="1:8" x14ac:dyDescent="0.25">
      <c r="A6" s="284" t="s">
        <v>343</v>
      </c>
      <c r="B6" s="156" t="s">
        <v>80</v>
      </c>
      <c r="C6" s="76">
        <v>0.56380089892663054</v>
      </c>
      <c r="D6" s="244">
        <f>_xlfn.RANK.AVG($C6,$C$6:$C$32,1)</f>
        <v>23</v>
      </c>
      <c r="E6" s="244">
        <f>_xlfn.RANK.AVG($C6,$C$6:$C$32,0)</f>
        <v>5</v>
      </c>
      <c r="F6" s="78">
        <f>COUNTIF($C$6:$C$32,"&gt;0,5")</f>
        <v>9</v>
      </c>
    </row>
    <row r="7" spans="1:8" x14ac:dyDescent="0.25">
      <c r="A7" s="284" t="s">
        <v>369</v>
      </c>
      <c r="B7" s="157" t="s">
        <v>78</v>
      </c>
      <c r="C7" s="77">
        <v>0.51618034829845028</v>
      </c>
      <c r="D7" s="244">
        <f t="shared" ref="D7:D32" si="0">_xlfn.RANK.AVG($C7,$C$6:$C$32,1)</f>
        <v>20</v>
      </c>
      <c r="E7" s="244">
        <f t="shared" ref="E7:E32" si="1">_xlfn.RANK.AVG($C7,$C$6:$C$32,0)</f>
        <v>8</v>
      </c>
      <c r="F7" s="78"/>
    </row>
    <row r="8" spans="1:8" x14ac:dyDescent="0.25">
      <c r="A8" s="284" t="s">
        <v>369</v>
      </c>
      <c r="B8" s="156" t="s">
        <v>82</v>
      </c>
      <c r="C8" s="76">
        <v>0.53110465297440124</v>
      </c>
      <c r="D8" s="244">
        <f t="shared" si="0"/>
        <v>21</v>
      </c>
      <c r="E8" s="244">
        <f t="shared" si="1"/>
        <v>7</v>
      </c>
      <c r="F8" s="78"/>
    </row>
    <row r="9" spans="1:8" x14ac:dyDescent="0.25">
      <c r="A9" s="285" t="s">
        <v>342</v>
      </c>
      <c r="B9" s="157" t="s">
        <v>76</v>
      </c>
      <c r="C9" s="77">
        <v>0.55782206588711714</v>
      </c>
      <c r="D9" s="244">
        <f t="shared" si="0"/>
        <v>22</v>
      </c>
      <c r="E9" s="244">
        <f t="shared" si="1"/>
        <v>6</v>
      </c>
      <c r="F9" s="78"/>
    </row>
    <row r="10" spans="1:8" x14ac:dyDescent="0.25">
      <c r="A10" s="285" t="s">
        <v>369</v>
      </c>
      <c r="B10" s="156" t="s">
        <v>83</v>
      </c>
      <c r="C10" s="76">
        <v>0.57778814253558941</v>
      </c>
      <c r="D10" s="244">
        <f t="shared" si="0"/>
        <v>25</v>
      </c>
      <c r="E10" s="244">
        <f t="shared" si="1"/>
        <v>3</v>
      </c>
      <c r="F10" s="78"/>
    </row>
    <row r="11" spans="1:8" x14ac:dyDescent="0.25">
      <c r="A11" s="285" t="s">
        <v>369</v>
      </c>
      <c r="B11" s="157" t="s">
        <v>75</v>
      </c>
      <c r="C11" s="77">
        <v>0.56403453506272572</v>
      </c>
      <c r="D11" s="244">
        <f t="shared" si="0"/>
        <v>24</v>
      </c>
      <c r="E11" s="244">
        <f t="shared" si="1"/>
        <v>4</v>
      </c>
      <c r="F11" s="78"/>
    </row>
    <row r="12" spans="1:8" x14ac:dyDescent="0.25">
      <c r="A12" s="285" t="s">
        <v>369</v>
      </c>
      <c r="B12" s="156" t="s">
        <v>94</v>
      </c>
      <c r="C12" s="76">
        <v>0.63622532102272389</v>
      </c>
      <c r="D12" s="244">
        <f t="shared" si="0"/>
        <v>27</v>
      </c>
      <c r="E12" s="244">
        <f t="shared" si="1"/>
        <v>1</v>
      </c>
      <c r="F12" s="78"/>
    </row>
    <row r="13" spans="1:8" x14ac:dyDescent="0.25">
      <c r="A13" s="284" t="s">
        <v>341</v>
      </c>
      <c r="B13" s="157" t="s">
        <v>89</v>
      </c>
      <c r="C13" s="77">
        <v>0.4051080921550182</v>
      </c>
      <c r="D13" s="244">
        <f t="shared" si="0"/>
        <v>12</v>
      </c>
      <c r="E13" s="244">
        <f t="shared" si="1"/>
        <v>16</v>
      </c>
      <c r="F13" s="78"/>
    </row>
    <row r="14" spans="1:8" x14ac:dyDescent="0.25">
      <c r="A14" s="284" t="s">
        <v>369</v>
      </c>
      <c r="B14" s="156" t="s">
        <v>97</v>
      </c>
      <c r="C14" s="76">
        <v>0.16782488651785299</v>
      </c>
      <c r="D14" s="244">
        <f t="shared" si="0"/>
        <v>1</v>
      </c>
      <c r="E14" s="244">
        <f t="shared" si="1"/>
        <v>27</v>
      </c>
      <c r="F14" s="78"/>
    </row>
    <row r="15" spans="1:8" x14ac:dyDescent="0.25">
      <c r="A15" s="284" t="s">
        <v>369</v>
      </c>
      <c r="B15" s="157" t="s">
        <v>86</v>
      </c>
      <c r="C15" s="77">
        <v>0.23635983440119007</v>
      </c>
      <c r="D15" s="244">
        <f t="shared" si="0"/>
        <v>3</v>
      </c>
      <c r="E15" s="244">
        <f t="shared" si="1"/>
        <v>25</v>
      </c>
      <c r="F15" s="78"/>
    </row>
    <row r="16" spans="1:8" x14ac:dyDescent="0.25">
      <c r="A16" s="284" t="s">
        <v>369</v>
      </c>
      <c r="B16" s="156" t="s">
        <v>77</v>
      </c>
      <c r="C16" s="76">
        <v>0.48498938459579122</v>
      </c>
      <c r="D16" s="244">
        <f t="shared" si="0"/>
        <v>18</v>
      </c>
      <c r="E16" s="244">
        <f t="shared" si="1"/>
        <v>10</v>
      </c>
      <c r="F16" s="78"/>
    </row>
    <row r="17" spans="1:6" x14ac:dyDescent="0.25">
      <c r="A17" s="284" t="s">
        <v>369</v>
      </c>
      <c r="B17" s="157" t="s">
        <v>88</v>
      </c>
      <c r="C17" s="77">
        <v>0.50712954167818658</v>
      </c>
      <c r="D17" s="244">
        <f t="shared" si="0"/>
        <v>19</v>
      </c>
      <c r="E17" s="244">
        <f t="shared" si="1"/>
        <v>9</v>
      </c>
      <c r="F17" s="78"/>
    </row>
    <row r="18" spans="1:6" x14ac:dyDescent="0.25">
      <c r="A18" s="284" t="s">
        <v>369</v>
      </c>
      <c r="B18" s="156" t="s">
        <v>74</v>
      </c>
      <c r="C18" s="76">
        <v>0.3817214910186798</v>
      </c>
      <c r="D18" s="244">
        <f t="shared" si="0"/>
        <v>10</v>
      </c>
      <c r="E18" s="244">
        <f t="shared" si="1"/>
        <v>18</v>
      </c>
      <c r="F18" s="78"/>
    </row>
    <row r="19" spans="1:6" x14ac:dyDescent="0.25">
      <c r="A19" s="284" t="s">
        <v>369</v>
      </c>
      <c r="B19" s="157" t="s">
        <v>87</v>
      </c>
      <c r="C19" s="77">
        <v>0.27012660907044317</v>
      </c>
      <c r="D19" s="244">
        <f t="shared" si="0"/>
        <v>5</v>
      </c>
      <c r="E19" s="244">
        <f t="shared" si="1"/>
        <v>23</v>
      </c>
      <c r="F19" s="78"/>
    </row>
    <row r="20" spans="1:6" x14ac:dyDescent="0.25">
      <c r="A20" s="283" t="s">
        <v>340</v>
      </c>
      <c r="B20" s="156" t="s">
        <v>96</v>
      </c>
      <c r="C20" s="76">
        <v>0.34175343292590915</v>
      </c>
      <c r="D20" s="244">
        <f t="shared" si="0"/>
        <v>8</v>
      </c>
      <c r="E20" s="244">
        <f t="shared" si="1"/>
        <v>20</v>
      </c>
      <c r="F20" s="78"/>
    </row>
    <row r="21" spans="1:6" x14ac:dyDescent="0.25">
      <c r="A21" s="283" t="s">
        <v>369</v>
      </c>
      <c r="B21" s="157" t="s">
        <v>95</v>
      </c>
      <c r="C21" s="77">
        <v>0.27568291895382624</v>
      </c>
      <c r="D21" s="244">
        <f t="shared" si="0"/>
        <v>6</v>
      </c>
      <c r="E21" s="244">
        <f t="shared" si="1"/>
        <v>22</v>
      </c>
      <c r="F21" s="78"/>
    </row>
    <row r="22" spans="1:6" x14ac:dyDescent="0.25">
      <c r="A22" s="283" t="s">
        <v>369</v>
      </c>
      <c r="B22" s="156" t="s">
        <v>98</v>
      </c>
      <c r="C22" s="76">
        <v>0.33059184181604517</v>
      </c>
      <c r="D22" s="244">
        <f t="shared" si="0"/>
        <v>7</v>
      </c>
      <c r="E22" s="244">
        <f t="shared" si="1"/>
        <v>21</v>
      </c>
      <c r="F22" s="78"/>
    </row>
    <row r="23" spans="1:6" x14ac:dyDescent="0.25">
      <c r="A23" s="283" t="s">
        <v>369</v>
      </c>
      <c r="B23" s="157" t="s">
        <v>90</v>
      </c>
      <c r="C23" s="77">
        <v>0.38620922698716709</v>
      </c>
      <c r="D23" s="244">
        <f t="shared" si="0"/>
        <v>11</v>
      </c>
      <c r="E23" s="244">
        <f t="shared" si="1"/>
        <v>17</v>
      </c>
      <c r="F23" s="78"/>
    </row>
    <row r="24" spans="1:6" x14ac:dyDescent="0.25">
      <c r="A24" s="283" t="s">
        <v>369</v>
      </c>
      <c r="B24" s="156" t="s">
        <v>91</v>
      </c>
      <c r="C24" s="76">
        <v>0.22290294051585369</v>
      </c>
      <c r="D24" s="244">
        <f t="shared" si="0"/>
        <v>2</v>
      </c>
      <c r="E24" s="244">
        <f t="shared" si="1"/>
        <v>26</v>
      </c>
      <c r="F24" s="78"/>
    </row>
    <row r="25" spans="1:6" x14ac:dyDescent="0.25">
      <c r="A25" s="283" t="s">
        <v>369</v>
      </c>
      <c r="B25" s="157" t="s">
        <v>92</v>
      </c>
      <c r="C25" s="77">
        <v>0.41016407108188752</v>
      </c>
      <c r="D25" s="244">
        <f t="shared" si="0"/>
        <v>13</v>
      </c>
      <c r="E25" s="244">
        <f t="shared" si="1"/>
        <v>15</v>
      </c>
      <c r="F25" s="78"/>
    </row>
    <row r="26" spans="1:6" x14ac:dyDescent="0.25">
      <c r="A26" s="283" t="s">
        <v>369</v>
      </c>
      <c r="B26" s="156" t="s">
        <v>93</v>
      </c>
      <c r="C26" s="76">
        <v>0.41419099293341993</v>
      </c>
      <c r="D26" s="244">
        <f t="shared" si="0"/>
        <v>14</v>
      </c>
      <c r="E26" s="244">
        <f t="shared" si="1"/>
        <v>14</v>
      </c>
      <c r="F26" s="78"/>
    </row>
    <row r="27" spans="1:6" x14ac:dyDescent="0.25">
      <c r="A27" s="283" t="s">
        <v>369</v>
      </c>
      <c r="B27" s="157" t="s">
        <v>81</v>
      </c>
      <c r="C27" s="77">
        <v>0.45603448355359322</v>
      </c>
      <c r="D27" s="244">
        <f t="shared" si="0"/>
        <v>16</v>
      </c>
      <c r="E27" s="244">
        <f t="shared" si="1"/>
        <v>12</v>
      </c>
      <c r="F27" s="78"/>
    </row>
    <row r="28" spans="1:6" x14ac:dyDescent="0.25">
      <c r="A28" s="283" t="s">
        <v>369</v>
      </c>
      <c r="B28" s="156" t="s">
        <v>99</v>
      </c>
      <c r="C28" s="76">
        <v>0.25027884655940835</v>
      </c>
      <c r="D28" s="244">
        <f t="shared" si="0"/>
        <v>4</v>
      </c>
      <c r="E28" s="244">
        <f t="shared" si="1"/>
        <v>24</v>
      </c>
      <c r="F28" s="78"/>
    </row>
    <row r="29" spans="1:6" x14ac:dyDescent="0.25">
      <c r="A29" s="284" t="s">
        <v>339</v>
      </c>
      <c r="B29" s="157" t="s">
        <v>79</v>
      </c>
      <c r="C29" s="77">
        <v>0.37453303740100824</v>
      </c>
      <c r="D29" s="244">
        <f t="shared" si="0"/>
        <v>9</v>
      </c>
      <c r="E29" s="244">
        <f t="shared" si="1"/>
        <v>19</v>
      </c>
      <c r="F29" s="78"/>
    </row>
    <row r="30" spans="1:6" x14ac:dyDescent="0.25">
      <c r="A30" s="284" t="s">
        <v>369</v>
      </c>
      <c r="B30" s="156" t="s">
        <v>84</v>
      </c>
      <c r="C30" s="76">
        <v>0.47970258943144717</v>
      </c>
      <c r="D30" s="244">
        <f t="shared" si="0"/>
        <v>17</v>
      </c>
      <c r="E30" s="244">
        <f t="shared" si="1"/>
        <v>11</v>
      </c>
      <c r="F30" s="78"/>
    </row>
    <row r="31" spans="1:6" x14ac:dyDescent="0.25">
      <c r="A31" s="284" t="s">
        <v>369</v>
      </c>
      <c r="B31" s="157" t="s">
        <v>85</v>
      </c>
      <c r="C31" s="77">
        <v>0.45114032390985914</v>
      </c>
      <c r="D31" s="244">
        <f t="shared" si="0"/>
        <v>15</v>
      </c>
      <c r="E31" s="244">
        <f t="shared" si="1"/>
        <v>13</v>
      </c>
      <c r="F31" s="78"/>
    </row>
    <row r="32" spans="1:6" x14ac:dyDescent="0.25">
      <c r="A32" s="284" t="s">
        <v>369</v>
      </c>
      <c r="B32" s="156" t="s">
        <v>100</v>
      </c>
      <c r="C32" s="76">
        <v>0.59592232239674314</v>
      </c>
      <c r="D32" s="244">
        <f t="shared" si="0"/>
        <v>26</v>
      </c>
      <c r="E32" s="244">
        <f t="shared" si="1"/>
        <v>2</v>
      </c>
      <c r="F32" s="78"/>
    </row>
    <row r="33" spans="1:2" x14ac:dyDescent="0.25">
      <c r="A33" s="233"/>
      <c r="B33" s="233"/>
    </row>
    <row r="34" spans="1:2" x14ac:dyDescent="0.25">
      <c r="A34" s="233"/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Plan208"/>
  <dimension ref="A1:H32"/>
  <sheetViews>
    <sheetView showGridLines="0" workbookViewId="0">
      <selection activeCell="I4" sqref="I4"/>
    </sheetView>
  </sheetViews>
  <sheetFormatPr defaultRowHeight="15" x14ac:dyDescent="0.25"/>
  <cols>
    <col min="1" max="1" width="14.42578125" bestFit="1" customWidth="1"/>
    <col min="2" max="2" width="39.5703125" bestFit="1" customWidth="1"/>
    <col min="3" max="3" width="25.85546875" bestFit="1" customWidth="1"/>
    <col min="4" max="4" width="11.42578125" customWidth="1"/>
  </cols>
  <sheetData>
    <row r="1" spans="1:8" x14ac:dyDescent="0.25">
      <c r="D1" s="78"/>
      <c r="E1" s="78"/>
      <c r="F1" s="78" t="s">
        <v>331</v>
      </c>
      <c r="G1" s="78" t="s">
        <v>1361</v>
      </c>
      <c r="H1" s="78" t="s">
        <v>1362</v>
      </c>
    </row>
    <row r="3" spans="1:8" x14ac:dyDescent="0.25">
      <c r="A3" s="350" t="str">
        <f>"Tabela Referente à "&amp;G1</f>
        <v>Tabela Referente à Figura 6.30</v>
      </c>
      <c r="B3" s="350"/>
      <c r="C3" s="350"/>
    </row>
    <row r="4" spans="1:8" ht="17.25" customHeight="1" x14ac:dyDescent="0.25">
      <c r="A4" s="352" t="str">
        <f>H1</f>
        <v>Distância direta média por UF em quilômetros, 2018</v>
      </c>
      <c r="B4" s="352"/>
      <c r="C4" s="352"/>
    </row>
    <row r="5" spans="1:8" x14ac:dyDescent="0.25">
      <c r="A5" s="1" t="s">
        <v>66</v>
      </c>
      <c r="B5" s="1" t="s">
        <v>428</v>
      </c>
      <c r="C5" s="163" t="s">
        <v>761</v>
      </c>
      <c r="D5" s="78"/>
      <c r="E5" s="78"/>
    </row>
    <row r="6" spans="1:8" x14ac:dyDescent="0.25">
      <c r="A6" s="296" t="s">
        <v>343</v>
      </c>
      <c r="B6" s="156" t="s">
        <v>80</v>
      </c>
      <c r="C6" s="158">
        <v>899.39477212689883</v>
      </c>
      <c r="D6" s="78">
        <f>_xlfn.RANK.AVG(C6,$C$6:$C$36,1)</f>
        <v>3</v>
      </c>
      <c r="E6" s="78">
        <f>_xlfn.RANK.AVG(C6,$C$6:$C$36,0)</f>
        <v>25</v>
      </c>
    </row>
    <row r="7" spans="1:8" x14ac:dyDescent="0.25">
      <c r="A7" s="296" t="s">
        <v>369</v>
      </c>
      <c r="B7" s="157" t="s">
        <v>78</v>
      </c>
      <c r="C7" s="159">
        <v>1243.4112503043475</v>
      </c>
      <c r="D7" s="78">
        <f t="shared" ref="D7:D32" si="0">_xlfn.RANK.AVG(C7,$C$6:$C$36,1)</f>
        <v>12</v>
      </c>
      <c r="E7" s="78">
        <f t="shared" ref="E7:E32" si="1">_xlfn.RANK.AVG(C7,$C$6:$C$36,0)</f>
        <v>16</v>
      </c>
    </row>
    <row r="8" spans="1:8" x14ac:dyDescent="0.25">
      <c r="A8" s="296" t="s">
        <v>369</v>
      </c>
      <c r="B8" s="156" t="s">
        <v>82</v>
      </c>
      <c r="C8" s="158">
        <v>958.35667622568042</v>
      </c>
      <c r="D8" s="78">
        <f t="shared" si="0"/>
        <v>4</v>
      </c>
      <c r="E8" s="78">
        <f t="shared" si="1"/>
        <v>24</v>
      </c>
    </row>
    <row r="9" spans="1:8" x14ac:dyDescent="0.25">
      <c r="A9" s="297" t="s">
        <v>342</v>
      </c>
      <c r="B9" s="157" t="s">
        <v>76</v>
      </c>
      <c r="C9" s="159">
        <v>1080.8161718731426</v>
      </c>
      <c r="D9" s="78">
        <f t="shared" si="0"/>
        <v>7</v>
      </c>
      <c r="E9" s="78">
        <f t="shared" si="1"/>
        <v>21</v>
      </c>
    </row>
    <row r="10" spans="1:8" x14ac:dyDescent="0.25">
      <c r="A10" s="297" t="s">
        <v>369</v>
      </c>
      <c r="B10" s="156" t="s">
        <v>83</v>
      </c>
      <c r="C10" s="158">
        <v>983.01833615186217</v>
      </c>
      <c r="D10" s="78">
        <f t="shared" si="0"/>
        <v>5</v>
      </c>
      <c r="E10" s="78">
        <f t="shared" si="1"/>
        <v>23</v>
      </c>
    </row>
    <row r="11" spans="1:8" x14ac:dyDescent="0.25">
      <c r="A11" s="297" t="s">
        <v>369</v>
      </c>
      <c r="B11" s="157" t="s">
        <v>75</v>
      </c>
      <c r="C11" s="159">
        <v>808.43947562183428</v>
      </c>
      <c r="D11" s="78">
        <f t="shared" si="0"/>
        <v>1</v>
      </c>
      <c r="E11" s="78">
        <f t="shared" si="1"/>
        <v>27</v>
      </c>
    </row>
    <row r="12" spans="1:8" x14ac:dyDescent="0.25">
      <c r="A12" s="297" t="s">
        <v>369</v>
      </c>
      <c r="B12" s="156" t="s">
        <v>94</v>
      </c>
      <c r="C12" s="158">
        <v>853.80662153750745</v>
      </c>
      <c r="D12" s="78">
        <f t="shared" si="0"/>
        <v>2</v>
      </c>
      <c r="E12" s="78">
        <f t="shared" si="1"/>
        <v>26</v>
      </c>
    </row>
    <row r="13" spans="1:8" x14ac:dyDescent="0.25">
      <c r="A13" s="296" t="s">
        <v>341</v>
      </c>
      <c r="B13" s="157" t="s">
        <v>89</v>
      </c>
      <c r="C13" s="159">
        <v>1244.0610254729459</v>
      </c>
      <c r="D13" s="78">
        <f t="shared" si="0"/>
        <v>13</v>
      </c>
      <c r="E13" s="78">
        <f t="shared" si="1"/>
        <v>15</v>
      </c>
    </row>
    <row r="14" spans="1:8" x14ac:dyDescent="0.25">
      <c r="A14" s="296" t="s">
        <v>369</v>
      </c>
      <c r="B14" s="156" t="s">
        <v>97</v>
      </c>
      <c r="C14" s="158">
        <v>2365.1631871519494</v>
      </c>
      <c r="D14" s="78">
        <f t="shared" si="0"/>
        <v>27</v>
      </c>
      <c r="E14" s="78">
        <f t="shared" si="1"/>
        <v>1</v>
      </c>
    </row>
    <row r="15" spans="1:8" x14ac:dyDescent="0.25">
      <c r="A15" s="296" t="s">
        <v>369</v>
      </c>
      <c r="B15" s="157" t="s">
        <v>86</v>
      </c>
      <c r="C15" s="159">
        <v>1920.0597391837089</v>
      </c>
      <c r="D15" s="78">
        <f t="shared" si="0"/>
        <v>23</v>
      </c>
      <c r="E15" s="78">
        <f t="shared" si="1"/>
        <v>5</v>
      </c>
    </row>
    <row r="16" spans="1:8" x14ac:dyDescent="0.25">
      <c r="A16" s="296" t="s">
        <v>369</v>
      </c>
      <c r="B16" s="156" t="s">
        <v>77</v>
      </c>
      <c r="C16" s="158">
        <v>1598.9294225811504</v>
      </c>
      <c r="D16" s="78">
        <f t="shared" si="0"/>
        <v>16</v>
      </c>
      <c r="E16" s="78">
        <f t="shared" si="1"/>
        <v>12</v>
      </c>
    </row>
    <row r="17" spans="1:5" x14ac:dyDescent="0.25">
      <c r="A17" s="296" t="s">
        <v>369</v>
      </c>
      <c r="B17" s="157" t="s">
        <v>88</v>
      </c>
      <c r="C17" s="159">
        <v>1189.7177234526414</v>
      </c>
      <c r="D17" s="78">
        <f t="shared" si="0"/>
        <v>10</v>
      </c>
      <c r="E17" s="78">
        <f t="shared" si="1"/>
        <v>18</v>
      </c>
    </row>
    <row r="18" spans="1:5" x14ac:dyDescent="0.25">
      <c r="A18" s="296" t="s">
        <v>369</v>
      </c>
      <c r="B18" s="156" t="s">
        <v>74</v>
      </c>
      <c r="C18" s="158">
        <v>1963.740894011667</v>
      </c>
      <c r="D18" s="78">
        <f t="shared" si="0"/>
        <v>24</v>
      </c>
      <c r="E18" s="78">
        <f t="shared" si="1"/>
        <v>4</v>
      </c>
    </row>
    <row r="19" spans="1:5" x14ac:dyDescent="0.25">
      <c r="A19" s="296" t="s">
        <v>369</v>
      </c>
      <c r="B19" s="157" t="s">
        <v>87</v>
      </c>
      <c r="C19" s="159">
        <v>2232.4309282471613</v>
      </c>
      <c r="D19" s="78">
        <f t="shared" si="0"/>
        <v>26</v>
      </c>
      <c r="E19" s="78">
        <f t="shared" si="1"/>
        <v>2</v>
      </c>
    </row>
    <row r="20" spans="1:5" x14ac:dyDescent="0.25">
      <c r="A20" s="295" t="s">
        <v>340</v>
      </c>
      <c r="B20" s="156" t="s">
        <v>96</v>
      </c>
      <c r="C20" s="158">
        <v>1525.1860339110901</v>
      </c>
      <c r="D20" s="78">
        <f t="shared" si="0"/>
        <v>15</v>
      </c>
      <c r="E20" s="78">
        <f t="shared" si="1"/>
        <v>13</v>
      </c>
    </row>
    <row r="21" spans="1:5" x14ac:dyDescent="0.25">
      <c r="A21" s="295" t="s">
        <v>369</v>
      </c>
      <c r="B21" s="157" t="s">
        <v>95</v>
      </c>
      <c r="C21" s="159">
        <v>1907.9346474615515</v>
      </c>
      <c r="D21" s="78">
        <f t="shared" si="0"/>
        <v>22</v>
      </c>
      <c r="E21" s="78">
        <f t="shared" si="1"/>
        <v>6</v>
      </c>
    </row>
    <row r="22" spans="1:5" x14ac:dyDescent="0.25">
      <c r="A22" s="295" t="s">
        <v>369</v>
      </c>
      <c r="B22" s="156" t="s">
        <v>98</v>
      </c>
      <c r="C22" s="158">
        <v>1601.187460847786</v>
      </c>
      <c r="D22" s="78">
        <f t="shared" si="0"/>
        <v>17</v>
      </c>
      <c r="E22" s="78">
        <f t="shared" si="1"/>
        <v>11</v>
      </c>
    </row>
    <row r="23" spans="1:5" x14ac:dyDescent="0.25">
      <c r="A23" s="295" t="s">
        <v>369</v>
      </c>
      <c r="B23" s="157" t="s">
        <v>90</v>
      </c>
      <c r="C23" s="159">
        <v>1672.9566396175451</v>
      </c>
      <c r="D23" s="78">
        <f t="shared" si="0"/>
        <v>19</v>
      </c>
      <c r="E23" s="78">
        <f t="shared" si="1"/>
        <v>9</v>
      </c>
    </row>
    <row r="24" spans="1:5" x14ac:dyDescent="0.25">
      <c r="A24" s="295" t="s">
        <v>369</v>
      </c>
      <c r="B24" s="156" t="s">
        <v>91</v>
      </c>
      <c r="C24" s="158">
        <v>2020.3810513256653</v>
      </c>
      <c r="D24" s="78">
        <f t="shared" si="0"/>
        <v>25</v>
      </c>
      <c r="E24" s="78">
        <f t="shared" si="1"/>
        <v>3</v>
      </c>
    </row>
    <row r="25" spans="1:5" x14ac:dyDescent="0.25">
      <c r="A25" s="295" t="s">
        <v>369</v>
      </c>
      <c r="B25" s="157" t="s">
        <v>92</v>
      </c>
      <c r="C25" s="159">
        <v>1632.8257921077375</v>
      </c>
      <c r="D25" s="78">
        <f t="shared" si="0"/>
        <v>18</v>
      </c>
      <c r="E25" s="78">
        <f t="shared" si="1"/>
        <v>10</v>
      </c>
    </row>
    <row r="26" spans="1:5" x14ac:dyDescent="0.25">
      <c r="A26" s="295" t="s">
        <v>369</v>
      </c>
      <c r="B26" s="156" t="s">
        <v>93</v>
      </c>
      <c r="C26" s="158">
        <v>1701.2347106837119</v>
      </c>
      <c r="D26" s="78">
        <f t="shared" si="0"/>
        <v>20</v>
      </c>
      <c r="E26" s="78">
        <f t="shared" si="1"/>
        <v>8</v>
      </c>
    </row>
    <row r="27" spans="1:5" x14ac:dyDescent="0.25">
      <c r="A27" s="295" t="s">
        <v>369</v>
      </c>
      <c r="B27" s="157" t="s">
        <v>81</v>
      </c>
      <c r="C27" s="159">
        <v>1212.3651332318134</v>
      </c>
      <c r="D27" s="78">
        <f t="shared" si="0"/>
        <v>11</v>
      </c>
      <c r="E27" s="78">
        <f t="shared" si="1"/>
        <v>17</v>
      </c>
    </row>
    <row r="28" spans="1:5" x14ac:dyDescent="0.25">
      <c r="A28" s="295" t="s">
        <v>369</v>
      </c>
      <c r="B28" s="156" t="s">
        <v>99</v>
      </c>
      <c r="C28" s="158">
        <v>1796.0219520092974</v>
      </c>
      <c r="D28" s="78">
        <f t="shared" si="0"/>
        <v>21</v>
      </c>
      <c r="E28" s="78">
        <f t="shared" si="1"/>
        <v>7</v>
      </c>
    </row>
    <row r="29" spans="1:5" x14ac:dyDescent="0.25">
      <c r="A29" s="296" t="s">
        <v>339</v>
      </c>
      <c r="B29" s="157" t="s">
        <v>79</v>
      </c>
      <c r="C29" s="159">
        <v>1321.6372550175606</v>
      </c>
      <c r="D29" s="78">
        <f t="shared" si="0"/>
        <v>14</v>
      </c>
      <c r="E29" s="78">
        <f t="shared" si="1"/>
        <v>14</v>
      </c>
    </row>
    <row r="30" spans="1:5" x14ac:dyDescent="0.25">
      <c r="A30" s="296" t="s">
        <v>369</v>
      </c>
      <c r="B30" s="156" t="s">
        <v>84</v>
      </c>
      <c r="C30" s="158">
        <v>1113.4062235334363</v>
      </c>
      <c r="D30" s="78">
        <f t="shared" si="0"/>
        <v>8</v>
      </c>
      <c r="E30" s="78">
        <f t="shared" si="1"/>
        <v>20</v>
      </c>
    </row>
    <row r="31" spans="1:5" x14ac:dyDescent="0.25">
      <c r="A31" s="296" t="s">
        <v>369</v>
      </c>
      <c r="B31" s="157" t="s">
        <v>85</v>
      </c>
      <c r="C31" s="159">
        <v>1020.4828831822367</v>
      </c>
      <c r="D31" s="78">
        <f t="shared" si="0"/>
        <v>6</v>
      </c>
      <c r="E31" s="78">
        <f t="shared" si="1"/>
        <v>22</v>
      </c>
    </row>
    <row r="32" spans="1:5" x14ac:dyDescent="0.25">
      <c r="A32" s="296" t="s">
        <v>369</v>
      </c>
      <c r="B32" s="156" t="s">
        <v>100</v>
      </c>
      <c r="C32" s="158">
        <v>1115.27994420051</v>
      </c>
      <c r="D32" s="78">
        <f t="shared" si="0"/>
        <v>9</v>
      </c>
      <c r="E32" s="78">
        <f t="shared" si="1"/>
        <v>19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Plan210"/>
  <dimension ref="A1:H32"/>
  <sheetViews>
    <sheetView showGridLines="0" workbookViewId="0">
      <selection activeCell="I4" sqref="I4"/>
    </sheetView>
  </sheetViews>
  <sheetFormatPr defaultRowHeight="15" x14ac:dyDescent="0.25"/>
  <cols>
    <col min="1" max="1" width="14.42578125" bestFit="1" customWidth="1"/>
    <col min="2" max="2" width="13.140625" customWidth="1"/>
    <col min="3" max="3" width="28.85546875" customWidth="1"/>
    <col min="4" max="4" width="11.42578125" customWidth="1"/>
  </cols>
  <sheetData>
    <row r="1" spans="1:8" x14ac:dyDescent="0.25">
      <c r="D1" s="78"/>
      <c r="E1" s="78"/>
      <c r="F1" s="78" t="s">
        <v>331</v>
      </c>
      <c r="G1" s="78" t="s">
        <v>1363</v>
      </c>
      <c r="H1" s="78" t="s">
        <v>1364</v>
      </c>
    </row>
    <row r="3" spans="1:8" x14ac:dyDescent="0.25">
      <c r="A3" s="350" t="str">
        <f>"Tabela Referente à "&amp;G1</f>
        <v>Tabela Referente à Figura 6.31</v>
      </c>
      <c r="B3" s="350"/>
      <c r="C3" s="350"/>
    </row>
    <row r="4" spans="1:8" ht="32.25" customHeight="1" x14ac:dyDescent="0.25">
      <c r="A4" s="352" t="str">
        <f>H1</f>
        <v>Yield Tarifa Aérea Médio Doméstico Real por UF, 2018</v>
      </c>
      <c r="B4" s="352"/>
      <c r="C4" s="352"/>
    </row>
    <row r="5" spans="1:8" x14ac:dyDescent="0.25">
      <c r="A5" s="1" t="s">
        <v>66</v>
      </c>
      <c r="B5" s="1" t="s">
        <v>428</v>
      </c>
      <c r="C5" s="163">
        <v>2018</v>
      </c>
      <c r="D5" s="78" t="s">
        <v>536</v>
      </c>
      <c r="E5" s="78" t="s">
        <v>537</v>
      </c>
    </row>
    <row r="6" spans="1:8" x14ac:dyDescent="0.25">
      <c r="A6" s="296" t="s">
        <v>343</v>
      </c>
      <c r="B6" s="156" t="s">
        <v>80</v>
      </c>
      <c r="C6" s="160">
        <v>0.38693515567030767</v>
      </c>
      <c r="D6" s="245">
        <f>_xlfn.RANK.AVG($C6,$C$6:$C$32,1)</f>
        <v>25</v>
      </c>
      <c r="E6" s="245">
        <f>_xlfn.RANK.AVG($C6,$C$6:$C$32,0)</f>
        <v>3</v>
      </c>
    </row>
    <row r="7" spans="1:8" x14ac:dyDescent="0.25">
      <c r="A7" s="296" t="s">
        <v>369</v>
      </c>
      <c r="B7" s="157" t="s">
        <v>78</v>
      </c>
      <c r="C7" s="161">
        <v>0.30145317629528207</v>
      </c>
      <c r="D7" s="245">
        <f t="shared" ref="D7:D32" si="0">_xlfn.RANK.AVG($C7,$C$6:$C$32,1)</f>
        <v>14</v>
      </c>
      <c r="E7" s="245">
        <f t="shared" ref="E7:E32" si="1">_xlfn.RANK.AVG($C7,$C$6:$C$32,0)</f>
        <v>14</v>
      </c>
    </row>
    <row r="8" spans="1:8" x14ac:dyDescent="0.25">
      <c r="A8" s="296" t="s">
        <v>369</v>
      </c>
      <c r="B8" s="156" t="s">
        <v>82</v>
      </c>
      <c r="C8" s="160">
        <v>0.37880840163918678</v>
      </c>
      <c r="D8" s="245">
        <f t="shared" si="0"/>
        <v>24</v>
      </c>
      <c r="E8" s="245">
        <f t="shared" si="1"/>
        <v>4</v>
      </c>
    </row>
    <row r="9" spans="1:8" x14ac:dyDescent="0.25">
      <c r="A9" s="297" t="s">
        <v>342</v>
      </c>
      <c r="B9" s="157" t="s">
        <v>76</v>
      </c>
      <c r="C9" s="161">
        <v>0.3228227473352917</v>
      </c>
      <c r="D9" s="245">
        <f t="shared" si="0"/>
        <v>16</v>
      </c>
      <c r="E9" s="245">
        <f t="shared" si="1"/>
        <v>12</v>
      </c>
    </row>
    <row r="10" spans="1:8" x14ac:dyDescent="0.25">
      <c r="A10" s="297" t="s">
        <v>369</v>
      </c>
      <c r="B10" s="156" t="s">
        <v>83</v>
      </c>
      <c r="C10" s="160">
        <v>0.33585248797723233</v>
      </c>
      <c r="D10" s="245">
        <f t="shared" si="0"/>
        <v>18</v>
      </c>
      <c r="E10" s="245">
        <f t="shared" si="1"/>
        <v>10</v>
      </c>
    </row>
    <row r="11" spans="1:8" x14ac:dyDescent="0.25">
      <c r="A11" s="297" t="s">
        <v>369</v>
      </c>
      <c r="B11" s="157" t="s">
        <v>75</v>
      </c>
      <c r="C11" s="161">
        <v>0.43443971455691521</v>
      </c>
      <c r="D11" s="245">
        <f t="shared" si="0"/>
        <v>27</v>
      </c>
      <c r="E11" s="245">
        <f t="shared" si="1"/>
        <v>1</v>
      </c>
    </row>
    <row r="12" spans="1:8" x14ac:dyDescent="0.25">
      <c r="A12" s="297" t="s">
        <v>369</v>
      </c>
      <c r="B12" s="156" t="s">
        <v>94</v>
      </c>
      <c r="C12" s="160">
        <v>0.37204385740428542</v>
      </c>
      <c r="D12" s="245">
        <f t="shared" si="0"/>
        <v>23</v>
      </c>
      <c r="E12" s="245">
        <f t="shared" si="1"/>
        <v>5</v>
      </c>
    </row>
    <row r="13" spans="1:8" x14ac:dyDescent="0.25">
      <c r="A13" s="296" t="s">
        <v>341</v>
      </c>
      <c r="B13" s="157" t="s">
        <v>89</v>
      </c>
      <c r="C13" s="161">
        <v>0.367365013965542</v>
      </c>
      <c r="D13" s="245">
        <f t="shared" si="0"/>
        <v>22</v>
      </c>
      <c r="E13" s="245">
        <f t="shared" si="1"/>
        <v>6</v>
      </c>
    </row>
    <row r="14" spans="1:8" x14ac:dyDescent="0.25">
      <c r="A14" s="296" t="s">
        <v>369</v>
      </c>
      <c r="B14" s="156" t="s">
        <v>97</v>
      </c>
      <c r="C14" s="160">
        <v>0.27342741990971092</v>
      </c>
      <c r="D14" s="245">
        <f t="shared" si="0"/>
        <v>10</v>
      </c>
      <c r="E14" s="245">
        <f t="shared" si="1"/>
        <v>18</v>
      </c>
    </row>
    <row r="15" spans="1:8" x14ac:dyDescent="0.25">
      <c r="A15" s="296" t="s">
        <v>369</v>
      </c>
      <c r="B15" s="157" t="s">
        <v>86</v>
      </c>
      <c r="C15" s="161">
        <v>0.28985949466411293</v>
      </c>
      <c r="D15" s="245">
        <f t="shared" si="0"/>
        <v>12</v>
      </c>
      <c r="E15" s="245">
        <f t="shared" si="1"/>
        <v>16</v>
      </c>
    </row>
    <row r="16" spans="1:8" x14ac:dyDescent="0.25">
      <c r="A16" s="296" t="s">
        <v>369</v>
      </c>
      <c r="B16" s="156" t="s">
        <v>77</v>
      </c>
      <c r="C16" s="160">
        <v>0.25221677345575011</v>
      </c>
      <c r="D16" s="245">
        <f t="shared" si="0"/>
        <v>7</v>
      </c>
      <c r="E16" s="245">
        <f t="shared" si="1"/>
        <v>21</v>
      </c>
    </row>
    <row r="17" spans="1:5" x14ac:dyDescent="0.25">
      <c r="A17" s="296" t="s">
        <v>369</v>
      </c>
      <c r="B17" s="157" t="s">
        <v>88</v>
      </c>
      <c r="C17" s="161">
        <v>0.3412542405669346</v>
      </c>
      <c r="D17" s="245">
        <f t="shared" si="0"/>
        <v>19</v>
      </c>
      <c r="E17" s="245">
        <f t="shared" si="1"/>
        <v>9</v>
      </c>
    </row>
    <row r="18" spans="1:5" x14ac:dyDescent="0.25">
      <c r="A18" s="296" t="s">
        <v>369</v>
      </c>
      <c r="B18" s="156" t="s">
        <v>74</v>
      </c>
      <c r="C18" s="160">
        <v>0.23382462190639211</v>
      </c>
      <c r="D18" s="245">
        <f t="shared" si="0"/>
        <v>2</v>
      </c>
      <c r="E18" s="245">
        <f t="shared" si="1"/>
        <v>26</v>
      </c>
    </row>
    <row r="19" spans="1:5" x14ac:dyDescent="0.25">
      <c r="A19" s="296" t="s">
        <v>369</v>
      </c>
      <c r="B19" s="157" t="s">
        <v>87</v>
      </c>
      <c r="C19" s="161">
        <v>0.2366470866603303</v>
      </c>
      <c r="D19" s="245">
        <f t="shared" si="0"/>
        <v>4</v>
      </c>
      <c r="E19" s="245">
        <f t="shared" si="1"/>
        <v>24</v>
      </c>
    </row>
    <row r="20" spans="1:5" x14ac:dyDescent="0.25">
      <c r="A20" s="295" t="s">
        <v>340</v>
      </c>
      <c r="B20" s="156" t="s">
        <v>96</v>
      </c>
      <c r="C20" s="160">
        <v>0.28360186760397649</v>
      </c>
      <c r="D20" s="245">
        <f t="shared" si="0"/>
        <v>11</v>
      </c>
      <c r="E20" s="245">
        <f t="shared" si="1"/>
        <v>17</v>
      </c>
    </row>
    <row r="21" spans="1:5" x14ac:dyDescent="0.25">
      <c r="A21" s="295" t="s">
        <v>369</v>
      </c>
      <c r="B21" s="157" t="s">
        <v>95</v>
      </c>
      <c r="C21" s="161">
        <v>0.24251806394578435</v>
      </c>
      <c r="D21" s="245">
        <f t="shared" si="0"/>
        <v>5</v>
      </c>
      <c r="E21" s="245">
        <f t="shared" si="1"/>
        <v>23</v>
      </c>
    </row>
    <row r="22" spans="1:5" x14ac:dyDescent="0.25">
      <c r="A22" s="295" t="s">
        <v>369</v>
      </c>
      <c r="B22" s="156" t="s">
        <v>98</v>
      </c>
      <c r="C22" s="160">
        <v>0.29257321691800786</v>
      </c>
      <c r="D22" s="245">
        <f t="shared" si="0"/>
        <v>13</v>
      </c>
      <c r="E22" s="245">
        <f t="shared" si="1"/>
        <v>15</v>
      </c>
    </row>
    <row r="23" spans="1:5" x14ac:dyDescent="0.25">
      <c r="A23" s="295" t="s">
        <v>369</v>
      </c>
      <c r="B23" s="157" t="s">
        <v>90</v>
      </c>
      <c r="C23" s="161">
        <v>0.2490990299725811</v>
      </c>
      <c r="D23" s="245">
        <f t="shared" si="0"/>
        <v>6</v>
      </c>
      <c r="E23" s="245">
        <f t="shared" si="1"/>
        <v>22</v>
      </c>
    </row>
    <row r="24" spans="1:5" x14ac:dyDescent="0.25">
      <c r="A24" s="295" t="s">
        <v>369</v>
      </c>
      <c r="B24" s="156" t="s">
        <v>91</v>
      </c>
      <c r="C24" s="160">
        <v>0.23434028595216863</v>
      </c>
      <c r="D24" s="245">
        <f t="shared" si="0"/>
        <v>3</v>
      </c>
      <c r="E24" s="245">
        <f t="shared" si="1"/>
        <v>25</v>
      </c>
    </row>
    <row r="25" spans="1:5" x14ac:dyDescent="0.25">
      <c r="A25" s="295" t="s">
        <v>369</v>
      </c>
      <c r="B25" s="157" t="s">
        <v>92</v>
      </c>
      <c r="C25" s="161">
        <v>0.26659951972931079</v>
      </c>
      <c r="D25" s="245">
        <f t="shared" si="0"/>
        <v>8</v>
      </c>
      <c r="E25" s="245">
        <f t="shared" si="1"/>
        <v>20</v>
      </c>
    </row>
    <row r="26" spans="1:5" x14ac:dyDescent="0.25">
      <c r="A26" s="295" t="s">
        <v>369</v>
      </c>
      <c r="B26" s="156" t="s">
        <v>93</v>
      </c>
      <c r="C26" s="160">
        <v>0.23243553337384357</v>
      </c>
      <c r="D26" s="245">
        <f t="shared" si="0"/>
        <v>1</v>
      </c>
      <c r="E26" s="245">
        <f t="shared" si="1"/>
        <v>27</v>
      </c>
    </row>
    <row r="27" spans="1:5" x14ac:dyDescent="0.25">
      <c r="A27" s="295" t="s">
        <v>369</v>
      </c>
      <c r="B27" s="157" t="s">
        <v>81</v>
      </c>
      <c r="C27" s="161">
        <v>0.32729928247064854</v>
      </c>
      <c r="D27" s="245">
        <f t="shared" si="0"/>
        <v>17</v>
      </c>
      <c r="E27" s="245">
        <f t="shared" si="1"/>
        <v>11</v>
      </c>
    </row>
    <row r="28" spans="1:5" x14ac:dyDescent="0.25">
      <c r="A28" s="295" t="s">
        <v>369</v>
      </c>
      <c r="B28" s="156" t="s">
        <v>99</v>
      </c>
      <c r="C28" s="160">
        <v>0.27170741685383315</v>
      </c>
      <c r="D28" s="245">
        <f t="shared" si="0"/>
        <v>9</v>
      </c>
      <c r="E28" s="245">
        <f t="shared" si="1"/>
        <v>19</v>
      </c>
    </row>
    <row r="29" spans="1:5" x14ac:dyDescent="0.25">
      <c r="A29" s="296" t="s">
        <v>339</v>
      </c>
      <c r="B29" s="157" t="s">
        <v>79</v>
      </c>
      <c r="C29" s="161">
        <v>0.35435851596576878</v>
      </c>
      <c r="D29" s="245">
        <f t="shared" si="0"/>
        <v>20</v>
      </c>
      <c r="E29" s="245">
        <f t="shared" si="1"/>
        <v>8</v>
      </c>
    </row>
    <row r="30" spans="1:5" x14ac:dyDescent="0.25">
      <c r="A30" s="296" t="s">
        <v>369</v>
      </c>
      <c r="B30" s="156" t="s">
        <v>84</v>
      </c>
      <c r="C30" s="160">
        <v>0.36270802902765453</v>
      </c>
      <c r="D30" s="245">
        <f t="shared" si="0"/>
        <v>21</v>
      </c>
      <c r="E30" s="245">
        <f t="shared" si="1"/>
        <v>7</v>
      </c>
    </row>
    <row r="31" spans="1:5" x14ac:dyDescent="0.25">
      <c r="A31" s="296" t="s">
        <v>369</v>
      </c>
      <c r="B31" s="157" t="s">
        <v>85</v>
      </c>
      <c r="C31" s="161">
        <v>0.4062263225694896</v>
      </c>
      <c r="D31" s="245">
        <f t="shared" si="0"/>
        <v>26</v>
      </c>
      <c r="E31" s="245">
        <f t="shared" si="1"/>
        <v>2</v>
      </c>
    </row>
    <row r="32" spans="1:5" x14ac:dyDescent="0.25">
      <c r="A32" s="296" t="s">
        <v>369</v>
      </c>
      <c r="B32" s="156" t="s">
        <v>100</v>
      </c>
      <c r="C32" s="160">
        <v>0.30990921963733264</v>
      </c>
      <c r="D32" s="245">
        <f t="shared" si="0"/>
        <v>15</v>
      </c>
      <c r="E32" s="245">
        <f t="shared" si="1"/>
        <v>13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Plan240"/>
  <dimension ref="A1:H32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15.28515625" customWidth="1"/>
    <col min="3" max="3" width="35" customWidth="1"/>
    <col min="4" max="4" width="11.42578125" customWidth="1"/>
  </cols>
  <sheetData>
    <row r="1" spans="1:8" x14ac:dyDescent="0.25">
      <c r="D1" s="78"/>
      <c r="E1" s="78"/>
      <c r="F1" s="78" t="s">
        <v>331</v>
      </c>
      <c r="G1" s="78" t="s">
        <v>1365</v>
      </c>
      <c r="H1" s="78" t="s">
        <v>1366</v>
      </c>
    </row>
    <row r="3" spans="1:8" x14ac:dyDescent="0.25">
      <c r="A3" s="350" t="str">
        <f>"Tabela Referente à "&amp;G1</f>
        <v>Tabela Referente à Figura 6.32</v>
      </c>
      <c r="B3" s="350"/>
      <c r="C3" s="350"/>
    </row>
    <row r="4" spans="1:8" ht="32.25" customHeight="1" x14ac:dyDescent="0.25">
      <c r="A4" s="352" t="str">
        <f>H1</f>
        <v>Variação do Yield Tarifa Aérea Médio Doméstico Real por UF 2018/2017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824</v>
      </c>
    </row>
    <row r="6" spans="1:8" x14ac:dyDescent="0.25">
      <c r="A6" s="296" t="s">
        <v>343</v>
      </c>
      <c r="B6" s="156" t="s">
        <v>80</v>
      </c>
      <c r="C6" s="76">
        <v>3.7856512432821489E-2</v>
      </c>
      <c r="D6" s="78">
        <f>COUNTIF($C$6:$C$32,"&lt;=0")</f>
        <v>10</v>
      </c>
    </row>
    <row r="7" spans="1:8" x14ac:dyDescent="0.25">
      <c r="A7" s="296" t="s">
        <v>369</v>
      </c>
      <c r="B7" s="157" t="s">
        <v>78</v>
      </c>
      <c r="C7" s="77">
        <v>5.0905176682267735E-3</v>
      </c>
    </row>
    <row r="8" spans="1:8" x14ac:dyDescent="0.25">
      <c r="A8" s="296" t="s">
        <v>369</v>
      </c>
      <c r="B8" s="156" t="s">
        <v>82</v>
      </c>
      <c r="C8" s="76">
        <v>3.2288657840908043E-2</v>
      </c>
    </row>
    <row r="9" spans="1:8" x14ac:dyDescent="0.25">
      <c r="A9" s="297" t="s">
        <v>342</v>
      </c>
      <c r="B9" s="157" t="s">
        <v>76</v>
      </c>
      <c r="C9" s="77">
        <v>-3.7971393439795831E-2</v>
      </c>
    </row>
    <row r="10" spans="1:8" x14ac:dyDescent="0.25">
      <c r="A10" s="297" t="s">
        <v>369</v>
      </c>
      <c r="B10" s="156" t="s">
        <v>83</v>
      </c>
      <c r="C10" s="76">
        <v>5.4851698601555691E-2</v>
      </c>
    </row>
    <row r="11" spans="1:8" x14ac:dyDescent="0.25">
      <c r="A11" s="297" t="s">
        <v>369</v>
      </c>
      <c r="B11" s="157" t="s">
        <v>75</v>
      </c>
      <c r="C11" s="77">
        <v>1.5181804729787666E-2</v>
      </c>
    </row>
    <row r="12" spans="1:8" x14ac:dyDescent="0.25">
      <c r="A12" s="297" t="s">
        <v>369</v>
      </c>
      <c r="B12" s="156" t="s">
        <v>94</v>
      </c>
      <c r="C12" s="76">
        <v>-2.0755323767868074E-2</v>
      </c>
    </row>
    <row r="13" spans="1:8" x14ac:dyDescent="0.25">
      <c r="A13" s="296" t="s">
        <v>341</v>
      </c>
      <c r="B13" s="157" t="s">
        <v>89</v>
      </c>
      <c r="C13" s="77">
        <v>6.2658236965887681E-2</v>
      </c>
    </row>
    <row r="14" spans="1:8" x14ac:dyDescent="0.25">
      <c r="A14" s="296" t="s">
        <v>369</v>
      </c>
      <c r="B14" s="156" t="s">
        <v>97</v>
      </c>
      <c r="C14" s="76">
        <v>1.4014462593089555E-2</v>
      </c>
    </row>
    <row r="15" spans="1:8" x14ac:dyDescent="0.25">
      <c r="A15" s="296" t="s">
        <v>369</v>
      </c>
      <c r="B15" s="157" t="s">
        <v>86</v>
      </c>
      <c r="C15" s="77">
        <v>-8.8078395386392255E-2</v>
      </c>
    </row>
    <row r="16" spans="1:8" x14ac:dyDescent="0.25">
      <c r="A16" s="296" t="s">
        <v>369</v>
      </c>
      <c r="B16" s="156" t="s">
        <v>77</v>
      </c>
      <c r="C16" s="76">
        <v>-0.11825279892371812</v>
      </c>
    </row>
    <row r="17" spans="1:3" x14ac:dyDescent="0.25">
      <c r="A17" s="296" t="s">
        <v>369</v>
      </c>
      <c r="B17" s="157" t="s">
        <v>88</v>
      </c>
      <c r="C17" s="77">
        <v>1.9149904155001565E-3</v>
      </c>
    </row>
    <row r="18" spans="1:3" x14ac:dyDescent="0.25">
      <c r="A18" s="296" t="s">
        <v>369</v>
      </c>
      <c r="B18" s="156" t="s">
        <v>74</v>
      </c>
      <c r="C18" s="76">
        <v>-2.5254602195413211E-2</v>
      </c>
    </row>
    <row r="19" spans="1:3" x14ac:dyDescent="0.25">
      <c r="A19" s="296" t="s">
        <v>369</v>
      </c>
      <c r="B19" s="157" t="s">
        <v>87</v>
      </c>
      <c r="C19" s="77">
        <v>-0.17314047925514087</v>
      </c>
    </row>
    <row r="20" spans="1:3" x14ac:dyDescent="0.25">
      <c r="A20" s="295" t="s">
        <v>340</v>
      </c>
      <c r="B20" s="156" t="s">
        <v>96</v>
      </c>
      <c r="C20" s="76">
        <v>4.7399312671479461E-2</v>
      </c>
    </row>
    <row r="21" spans="1:3" x14ac:dyDescent="0.25">
      <c r="A21" s="295" t="s">
        <v>369</v>
      </c>
      <c r="B21" s="157" t="s">
        <v>95</v>
      </c>
      <c r="C21" s="77">
        <v>6.450034253090304E-4</v>
      </c>
    </row>
    <row r="22" spans="1:3" x14ac:dyDescent="0.25">
      <c r="A22" s="295" t="s">
        <v>369</v>
      </c>
      <c r="B22" s="156" t="s">
        <v>98</v>
      </c>
      <c r="C22" s="76">
        <v>2.2106238537922943E-2</v>
      </c>
    </row>
    <row r="23" spans="1:3" x14ac:dyDescent="0.25">
      <c r="A23" s="295" t="s">
        <v>369</v>
      </c>
      <c r="B23" s="157" t="s">
        <v>90</v>
      </c>
      <c r="C23" s="77">
        <v>1.5497831050984465E-2</v>
      </c>
    </row>
    <row r="24" spans="1:3" x14ac:dyDescent="0.25">
      <c r="A24" s="295" t="s">
        <v>369</v>
      </c>
      <c r="B24" s="156" t="s">
        <v>91</v>
      </c>
      <c r="C24" s="76">
        <v>-2.472040748096754E-2</v>
      </c>
    </row>
    <row r="25" spans="1:3" x14ac:dyDescent="0.25">
      <c r="A25" s="295" t="s">
        <v>369</v>
      </c>
      <c r="B25" s="157" t="s">
        <v>92</v>
      </c>
      <c r="C25" s="77">
        <v>4.7293216882831959E-2</v>
      </c>
    </row>
    <row r="26" spans="1:3" x14ac:dyDescent="0.25">
      <c r="A26" s="295" t="s">
        <v>369</v>
      </c>
      <c r="B26" s="156" t="s">
        <v>93</v>
      </c>
      <c r="C26" s="76">
        <v>-2.7746147020335774E-2</v>
      </c>
    </row>
    <row r="27" spans="1:3" x14ac:dyDescent="0.25">
      <c r="A27" s="295" t="s">
        <v>369</v>
      </c>
      <c r="B27" s="157" t="s">
        <v>81</v>
      </c>
      <c r="C27" s="77">
        <v>4.1898960920841069E-2</v>
      </c>
    </row>
    <row r="28" spans="1:3" x14ac:dyDescent="0.25">
      <c r="A28" s="295" t="s">
        <v>369</v>
      </c>
      <c r="B28" s="156" t="s">
        <v>99</v>
      </c>
      <c r="C28" s="76">
        <v>2.8317256299905544E-2</v>
      </c>
    </row>
    <row r="29" spans="1:3" x14ac:dyDescent="0.25">
      <c r="A29" s="296" t="s">
        <v>339</v>
      </c>
      <c r="B29" s="157" t="s">
        <v>79</v>
      </c>
      <c r="C29" s="77">
        <v>-5.0132682470924221E-2</v>
      </c>
    </row>
    <row r="30" spans="1:3" x14ac:dyDescent="0.25">
      <c r="A30" s="296" t="s">
        <v>369</v>
      </c>
      <c r="B30" s="156" t="s">
        <v>84</v>
      </c>
      <c r="C30" s="76">
        <v>2.7736100478290095E-2</v>
      </c>
    </row>
    <row r="31" spans="1:3" x14ac:dyDescent="0.25">
      <c r="A31" s="296" t="s">
        <v>369</v>
      </c>
      <c r="B31" s="157" t="s">
        <v>85</v>
      </c>
      <c r="C31" s="77">
        <v>2.3986098520579972E-2</v>
      </c>
    </row>
    <row r="32" spans="1:3" x14ac:dyDescent="0.25">
      <c r="A32" s="296" t="s">
        <v>369</v>
      </c>
      <c r="B32" s="156" t="s">
        <v>100</v>
      </c>
      <c r="C32" s="76">
        <v>-7.7695140640096472E-2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Plan239"/>
  <dimension ref="A1:H32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15.28515625" customWidth="1"/>
    <col min="3" max="3" width="35" customWidth="1"/>
    <col min="4" max="4" width="11.42578125" customWidth="1"/>
  </cols>
  <sheetData>
    <row r="1" spans="1:8" x14ac:dyDescent="0.25">
      <c r="D1" s="78"/>
      <c r="E1" s="78"/>
      <c r="F1" s="78" t="s">
        <v>331</v>
      </c>
      <c r="G1" s="78" t="s">
        <v>1367</v>
      </c>
      <c r="H1" s="78" t="s">
        <v>1368</v>
      </c>
    </row>
    <row r="3" spans="1:8" x14ac:dyDescent="0.25">
      <c r="A3" s="350" t="str">
        <f>"Tabela Referente à "&amp;G1</f>
        <v>Tabela Referente à Figura 6.33</v>
      </c>
      <c r="B3" s="350"/>
      <c r="C3" s="350"/>
    </row>
    <row r="4" spans="1:8" ht="32.25" customHeight="1" x14ac:dyDescent="0.25">
      <c r="A4" s="352" t="str">
        <f>H1</f>
        <v>Variação do Yield Tarifa Aérea Médio Doméstico Real por UF 2018/2011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668</v>
      </c>
    </row>
    <row r="6" spans="1:8" x14ac:dyDescent="0.25">
      <c r="A6" s="296" t="s">
        <v>343</v>
      </c>
      <c r="B6" s="156" t="s">
        <v>80</v>
      </c>
      <c r="C6" s="76">
        <v>-0.24101880831693245</v>
      </c>
    </row>
    <row r="7" spans="1:8" x14ac:dyDescent="0.25">
      <c r="A7" s="296" t="s">
        <v>369</v>
      </c>
      <c r="B7" s="157" t="s">
        <v>78</v>
      </c>
      <c r="C7" s="77">
        <v>-0.11025370454974752</v>
      </c>
    </row>
    <row r="8" spans="1:8" x14ac:dyDescent="0.25">
      <c r="A8" s="296" t="s">
        <v>369</v>
      </c>
      <c r="B8" s="156" t="s">
        <v>82</v>
      </c>
      <c r="C8" s="76">
        <v>-0.15671289636988547</v>
      </c>
    </row>
    <row r="9" spans="1:8" x14ac:dyDescent="0.25">
      <c r="A9" s="297" t="s">
        <v>342</v>
      </c>
      <c r="B9" s="157" t="s">
        <v>76</v>
      </c>
      <c r="C9" s="77">
        <v>-0.23025745612303339</v>
      </c>
    </row>
    <row r="10" spans="1:8" x14ac:dyDescent="0.25">
      <c r="A10" s="297" t="s">
        <v>369</v>
      </c>
      <c r="B10" s="156" t="s">
        <v>83</v>
      </c>
      <c r="C10" s="76">
        <v>-0.24391219591992988</v>
      </c>
    </row>
    <row r="11" spans="1:8" x14ac:dyDescent="0.25">
      <c r="A11" s="297" t="s">
        <v>369</v>
      </c>
      <c r="B11" s="157" t="s">
        <v>75</v>
      </c>
      <c r="C11" s="77">
        <v>-4.2707803928693888E-2</v>
      </c>
    </row>
    <row r="12" spans="1:8" x14ac:dyDescent="0.25">
      <c r="A12" s="297" t="s">
        <v>369</v>
      </c>
      <c r="B12" s="156" t="s">
        <v>94</v>
      </c>
      <c r="C12" s="76">
        <v>-0.25289497716586867</v>
      </c>
    </row>
    <row r="13" spans="1:8" x14ac:dyDescent="0.25">
      <c r="A13" s="296" t="s">
        <v>341</v>
      </c>
      <c r="B13" s="157" t="s">
        <v>89</v>
      </c>
      <c r="C13" s="77">
        <v>-0.21510838981130725</v>
      </c>
    </row>
    <row r="14" spans="1:8" x14ac:dyDescent="0.25">
      <c r="A14" s="296" t="s">
        <v>369</v>
      </c>
      <c r="B14" s="156" t="s">
        <v>97</v>
      </c>
      <c r="C14" s="76">
        <v>-0.27551879646903887</v>
      </c>
    </row>
    <row r="15" spans="1:8" x14ac:dyDescent="0.25">
      <c r="A15" s="296" t="s">
        <v>369</v>
      </c>
      <c r="B15" s="157" t="s">
        <v>86</v>
      </c>
      <c r="C15" s="77">
        <v>-0.21124051453627091</v>
      </c>
    </row>
    <row r="16" spans="1:8" x14ac:dyDescent="0.25">
      <c r="A16" s="296" t="s">
        <v>369</v>
      </c>
      <c r="B16" s="156" t="s">
        <v>77</v>
      </c>
      <c r="C16" s="76">
        <v>-0.41444040475823363</v>
      </c>
    </row>
    <row r="17" spans="1:3" x14ac:dyDescent="0.25">
      <c r="A17" s="296" t="s">
        <v>369</v>
      </c>
      <c r="B17" s="157" t="s">
        <v>88</v>
      </c>
      <c r="C17" s="77">
        <v>-0.35122380725154567</v>
      </c>
    </row>
    <row r="18" spans="1:3" x14ac:dyDescent="0.25">
      <c r="A18" s="296" t="s">
        <v>369</v>
      </c>
      <c r="B18" s="156" t="s">
        <v>74</v>
      </c>
      <c r="C18" s="76">
        <v>-0.29946820792875867</v>
      </c>
    </row>
    <row r="19" spans="1:3" x14ac:dyDescent="0.25">
      <c r="A19" s="296" t="s">
        <v>369</v>
      </c>
      <c r="B19" s="157" t="s">
        <v>87</v>
      </c>
      <c r="C19" s="77">
        <v>-0.39112910224143133</v>
      </c>
    </row>
    <row r="20" spans="1:3" x14ac:dyDescent="0.25">
      <c r="A20" s="295" t="s">
        <v>340</v>
      </c>
      <c r="B20" s="156" t="s">
        <v>96</v>
      </c>
      <c r="C20" s="76">
        <v>-0.29379169802476268</v>
      </c>
    </row>
    <row r="21" spans="1:3" x14ac:dyDescent="0.25">
      <c r="A21" s="295" t="s">
        <v>369</v>
      </c>
      <c r="B21" s="157" t="s">
        <v>95</v>
      </c>
      <c r="C21" s="77">
        <v>-0.21234313757886289</v>
      </c>
    </row>
    <row r="22" spans="1:3" x14ac:dyDescent="0.25">
      <c r="A22" s="295" t="s">
        <v>369</v>
      </c>
      <c r="B22" s="156" t="s">
        <v>98</v>
      </c>
      <c r="C22" s="76">
        <v>-0.20229480347722151</v>
      </c>
    </row>
    <row r="23" spans="1:3" x14ac:dyDescent="0.25">
      <c r="A23" s="295" t="s">
        <v>369</v>
      </c>
      <c r="B23" s="157" t="s">
        <v>90</v>
      </c>
      <c r="C23" s="77">
        <v>-0.25079189712828892</v>
      </c>
    </row>
    <row r="24" spans="1:3" x14ac:dyDescent="0.25">
      <c r="A24" s="295" t="s">
        <v>369</v>
      </c>
      <c r="B24" s="156" t="s">
        <v>91</v>
      </c>
      <c r="C24" s="76">
        <v>-0.16709639887855932</v>
      </c>
    </row>
    <row r="25" spans="1:3" x14ac:dyDescent="0.25">
      <c r="A25" s="295" t="s">
        <v>369</v>
      </c>
      <c r="B25" s="157" t="s">
        <v>92</v>
      </c>
      <c r="C25" s="77">
        <v>-0.27669912746570813</v>
      </c>
    </row>
    <row r="26" spans="1:3" x14ac:dyDescent="0.25">
      <c r="A26" s="295" t="s">
        <v>369</v>
      </c>
      <c r="B26" s="156" t="s">
        <v>93</v>
      </c>
      <c r="C26" s="76">
        <v>-0.23753385708090466</v>
      </c>
    </row>
    <row r="27" spans="1:3" x14ac:dyDescent="0.25">
      <c r="A27" s="295" t="s">
        <v>369</v>
      </c>
      <c r="B27" s="157" t="s">
        <v>81</v>
      </c>
      <c r="C27" s="77">
        <v>-2.697823918025891E-2</v>
      </c>
    </row>
    <row r="28" spans="1:3" x14ac:dyDescent="0.25">
      <c r="A28" s="295" t="s">
        <v>369</v>
      </c>
      <c r="B28" s="156" t="s">
        <v>99</v>
      </c>
      <c r="C28" s="76">
        <v>-0.13989194183659387</v>
      </c>
    </row>
    <row r="29" spans="1:3" x14ac:dyDescent="0.25">
      <c r="A29" s="296" t="s">
        <v>339</v>
      </c>
      <c r="B29" s="157" t="s">
        <v>79</v>
      </c>
      <c r="C29" s="77">
        <v>-0.11169112241813359</v>
      </c>
    </row>
    <row r="30" spans="1:3" x14ac:dyDescent="0.25">
      <c r="A30" s="296" t="s">
        <v>369</v>
      </c>
      <c r="B30" s="156" t="s">
        <v>84</v>
      </c>
      <c r="C30" s="76">
        <v>-0.11861880742889176</v>
      </c>
    </row>
    <row r="31" spans="1:3" x14ac:dyDescent="0.25">
      <c r="A31" s="296" t="s">
        <v>369</v>
      </c>
      <c r="B31" s="157" t="s">
        <v>85</v>
      </c>
      <c r="C31" s="77">
        <v>-0.13256428503294543</v>
      </c>
    </row>
    <row r="32" spans="1:3" x14ac:dyDescent="0.25">
      <c r="A32" s="296" t="s">
        <v>369</v>
      </c>
      <c r="B32" s="156" t="s">
        <v>100</v>
      </c>
      <c r="C32" s="76">
        <v>-0.19686722554396394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Plan242"/>
  <dimension ref="A1:H59"/>
  <sheetViews>
    <sheetView showGridLines="0" workbookViewId="0">
      <selection activeCell="A5" sqref="A5:C32"/>
    </sheetView>
  </sheetViews>
  <sheetFormatPr defaultRowHeight="15" x14ac:dyDescent="0.25"/>
  <cols>
    <col min="1" max="1" width="14.42578125" bestFit="1" customWidth="1"/>
    <col min="2" max="2" width="6.85546875" customWidth="1"/>
    <col min="3" max="3" width="47" bestFit="1" customWidth="1"/>
    <col min="4" max="4" width="11.5703125" bestFit="1" customWidth="1"/>
  </cols>
  <sheetData>
    <row r="1" spans="1:8" x14ac:dyDescent="0.25">
      <c r="D1" s="78"/>
      <c r="E1" s="78" t="s">
        <v>331</v>
      </c>
      <c r="G1" s="78" t="s">
        <v>1369</v>
      </c>
      <c r="H1" s="78" t="s">
        <v>1370</v>
      </c>
    </row>
    <row r="3" spans="1:8" x14ac:dyDescent="0.25">
      <c r="A3" s="350" t="str">
        <f>"Tabela Referente à "&amp;G1</f>
        <v>Tabela Referente à Figura 6.34</v>
      </c>
      <c r="B3" s="350"/>
      <c r="C3" s="350"/>
    </row>
    <row r="4" spans="1:8" ht="32.25" customHeight="1" x14ac:dyDescent="0.25">
      <c r="A4" s="352" t="str">
        <f>H1</f>
        <v>Percentual de assentos comercializados com Yield inferior a R$ 0,10 por UF em 2018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704</v>
      </c>
    </row>
    <row r="6" spans="1:8" x14ac:dyDescent="0.25">
      <c r="A6" s="296" t="s">
        <v>343</v>
      </c>
      <c r="B6" s="156" t="s">
        <v>80</v>
      </c>
      <c r="C6" s="76">
        <v>1.2807112499788949E-2</v>
      </c>
    </row>
    <row r="7" spans="1:8" x14ac:dyDescent="0.25">
      <c r="A7" s="296" t="s">
        <v>369</v>
      </c>
      <c r="B7" s="157" t="s">
        <v>78</v>
      </c>
      <c r="C7" s="77">
        <v>5.4456366823637713E-2</v>
      </c>
    </row>
    <row r="8" spans="1:8" x14ac:dyDescent="0.25">
      <c r="A8" s="296" t="s">
        <v>369</v>
      </c>
      <c r="B8" s="156" t="s">
        <v>82</v>
      </c>
      <c r="C8" s="76">
        <v>1.4152962711464084E-2</v>
      </c>
    </row>
    <row r="9" spans="1:8" x14ac:dyDescent="0.25">
      <c r="A9" s="297" t="s">
        <v>342</v>
      </c>
      <c r="B9" s="157" t="s">
        <v>76</v>
      </c>
      <c r="C9" s="77">
        <v>4.0720855910103312E-2</v>
      </c>
    </row>
    <row r="10" spans="1:8" x14ac:dyDescent="0.25">
      <c r="A10" s="297" t="s">
        <v>369</v>
      </c>
      <c r="B10" s="156" t="s">
        <v>83</v>
      </c>
      <c r="C10" s="76">
        <v>4.1152263854536394E-2</v>
      </c>
    </row>
    <row r="11" spans="1:8" x14ac:dyDescent="0.25">
      <c r="A11" s="297" t="s">
        <v>369</v>
      </c>
      <c r="B11" s="157" t="s">
        <v>75</v>
      </c>
      <c r="C11" s="77">
        <v>5.5725295126700007E-3</v>
      </c>
    </row>
    <row r="12" spans="1:8" x14ac:dyDescent="0.25">
      <c r="A12" s="297" t="s">
        <v>369</v>
      </c>
      <c r="B12" s="156" t="s">
        <v>94</v>
      </c>
      <c r="C12" s="76">
        <v>2.2444424882945388E-2</v>
      </c>
    </row>
    <row r="13" spans="1:8" x14ac:dyDescent="0.25">
      <c r="A13" s="296" t="s">
        <v>341</v>
      </c>
      <c r="B13" s="157" t="s">
        <v>89</v>
      </c>
      <c r="C13" s="77">
        <v>4.046156324060652E-2</v>
      </c>
    </row>
    <row r="14" spans="1:8" x14ac:dyDescent="0.25">
      <c r="A14" s="296" t="s">
        <v>369</v>
      </c>
      <c r="B14" s="156" t="s">
        <v>97</v>
      </c>
      <c r="C14" s="76">
        <v>1.8099256251060618E-2</v>
      </c>
    </row>
    <row r="15" spans="1:8" x14ac:dyDescent="0.25">
      <c r="A15" s="296" t="s">
        <v>369</v>
      </c>
      <c r="B15" s="157" t="s">
        <v>86</v>
      </c>
      <c r="C15" s="77">
        <v>3.3012021220178621E-2</v>
      </c>
    </row>
    <row r="16" spans="1:8" x14ac:dyDescent="0.25">
      <c r="A16" s="296" t="s">
        <v>369</v>
      </c>
      <c r="B16" s="156" t="s">
        <v>77</v>
      </c>
      <c r="C16" s="76">
        <v>0.13843950035427099</v>
      </c>
    </row>
    <row r="17" spans="1:4" x14ac:dyDescent="0.25">
      <c r="A17" s="296" t="s">
        <v>369</v>
      </c>
      <c r="B17" s="157" t="s">
        <v>88</v>
      </c>
      <c r="C17" s="77">
        <v>2.990490662087995E-2</v>
      </c>
    </row>
    <row r="18" spans="1:4" x14ac:dyDescent="0.25">
      <c r="A18" s="296" t="s">
        <v>369</v>
      </c>
      <c r="B18" s="156" t="s">
        <v>74</v>
      </c>
      <c r="C18" s="61">
        <v>0.13086730653937084</v>
      </c>
    </row>
    <row r="19" spans="1:4" x14ac:dyDescent="0.25">
      <c r="A19" s="296" t="s">
        <v>369</v>
      </c>
      <c r="B19" s="157" t="s">
        <v>87</v>
      </c>
      <c r="C19" s="77">
        <v>5.0842166435333049E-2</v>
      </c>
    </row>
    <row r="20" spans="1:4" x14ac:dyDescent="0.25">
      <c r="A20" s="295" t="s">
        <v>340</v>
      </c>
      <c r="B20" s="156" t="s">
        <v>96</v>
      </c>
      <c r="C20" s="76">
        <v>1.2937178313982563E-2</v>
      </c>
    </row>
    <row r="21" spans="1:4" x14ac:dyDescent="0.25">
      <c r="A21" s="295" t="s">
        <v>369</v>
      </c>
      <c r="B21" s="157" t="s">
        <v>95</v>
      </c>
      <c r="C21" s="77">
        <v>4.3555041873018535E-2</v>
      </c>
    </row>
    <row r="22" spans="1:4" x14ac:dyDescent="0.25">
      <c r="A22" s="295" t="s">
        <v>369</v>
      </c>
      <c r="B22" s="156" t="s">
        <v>98</v>
      </c>
      <c r="C22" s="76">
        <v>2.7035117293967514E-2</v>
      </c>
    </row>
    <row r="23" spans="1:4" x14ac:dyDescent="0.25">
      <c r="A23" s="295" t="s">
        <v>369</v>
      </c>
      <c r="B23" s="157" t="s">
        <v>90</v>
      </c>
      <c r="C23" s="77">
        <v>4.3438944409404122E-2</v>
      </c>
    </row>
    <row r="24" spans="1:4" x14ac:dyDescent="0.25">
      <c r="A24" s="295" t="s">
        <v>369</v>
      </c>
      <c r="B24" s="156" t="s">
        <v>91</v>
      </c>
      <c r="C24" s="76">
        <v>5.4080752444144294E-2</v>
      </c>
    </row>
    <row r="25" spans="1:4" x14ac:dyDescent="0.25">
      <c r="A25" s="295" t="s">
        <v>369</v>
      </c>
      <c r="B25" s="157" t="s">
        <v>92</v>
      </c>
      <c r="C25" s="62">
        <v>7.1615367376964528E-2</v>
      </c>
      <c r="D25" s="204"/>
    </row>
    <row r="26" spans="1:4" x14ac:dyDescent="0.25">
      <c r="A26" s="295" t="s">
        <v>369</v>
      </c>
      <c r="B26" s="156" t="s">
        <v>93</v>
      </c>
      <c r="C26" s="76">
        <v>7.2011496236425873E-2</v>
      </c>
    </row>
    <row r="27" spans="1:4" x14ac:dyDescent="0.25">
      <c r="A27" s="295" t="s">
        <v>369</v>
      </c>
      <c r="B27" s="157" t="s">
        <v>81</v>
      </c>
      <c r="C27" s="77">
        <v>1.8003361986135266E-2</v>
      </c>
    </row>
    <row r="28" spans="1:4" x14ac:dyDescent="0.25">
      <c r="A28" s="295" t="s">
        <v>369</v>
      </c>
      <c r="B28" s="156" t="s">
        <v>99</v>
      </c>
      <c r="C28" s="76">
        <v>1.8670043737761047E-2</v>
      </c>
    </row>
    <row r="29" spans="1:4" x14ac:dyDescent="0.25">
      <c r="A29" s="296" t="s">
        <v>339</v>
      </c>
      <c r="B29" s="157" t="s">
        <v>79</v>
      </c>
      <c r="C29" s="77">
        <v>2.681778050054956E-2</v>
      </c>
    </row>
    <row r="30" spans="1:4" x14ac:dyDescent="0.25">
      <c r="A30" s="296" t="s">
        <v>369</v>
      </c>
      <c r="B30" s="156" t="s">
        <v>84</v>
      </c>
      <c r="C30" s="76">
        <v>1.0515720970966449E-2</v>
      </c>
    </row>
    <row r="31" spans="1:4" x14ac:dyDescent="0.25">
      <c r="A31" s="296" t="s">
        <v>369</v>
      </c>
      <c r="B31" s="157" t="s">
        <v>85</v>
      </c>
      <c r="C31" s="77">
        <v>1.1763187277737978E-2</v>
      </c>
    </row>
    <row r="32" spans="1:4" x14ac:dyDescent="0.25">
      <c r="A32" s="296" t="s">
        <v>369</v>
      </c>
      <c r="B32" s="156" t="s">
        <v>100</v>
      </c>
      <c r="C32" s="76">
        <v>7.8095148454178059E-2</v>
      </c>
    </row>
    <row r="52" spans="1:1" x14ac:dyDescent="0.25">
      <c r="A52" s="357"/>
    </row>
    <row r="53" spans="1:1" x14ac:dyDescent="0.25">
      <c r="A53" s="357"/>
    </row>
    <row r="54" spans="1:1" x14ac:dyDescent="0.25">
      <c r="A54" s="357"/>
    </row>
    <row r="55" spans="1:1" x14ac:dyDescent="0.25">
      <c r="A55" s="357"/>
    </row>
    <row r="56" spans="1:1" x14ac:dyDescent="0.25">
      <c r="A56" s="357"/>
    </row>
    <row r="57" spans="1:1" x14ac:dyDescent="0.25">
      <c r="A57" s="357"/>
    </row>
    <row r="58" spans="1:1" x14ac:dyDescent="0.25">
      <c r="A58" s="357"/>
    </row>
    <row r="59" spans="1:1" x14ac:dyDescent="0.25">
      <c r="A59" s="357"/>
    </row>
  </sheetData>
  <mergeCells count="3">
    <mergeCell ref="A52:A59"/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Plan241"/>
  <dimension ref="A1:H32"/>
  <sheetViews>
    <sheetView showGridLines="0" zoomScaleNormal="100" workbookViewId="0">
      <selection activeCell="E6" sqref="E6"/>
    </sheetView>
  </sheetViews>
  <sheetFormatPr defaultRowHeight="15" x14ac:dyDescent="0.25"/>
  <cols>
    <col min="1" max="1" width="14.42578125" bestFit="1" customWidth="1"/>
    <col min="2" max="2" width="6.85546875" customWidth="1"/>
    <col min="3" max="3" width="47" bestFit="1" customWidth="1"/>
    <col min="4" max="4" width="12.42578125" bestFit="1" customWidth="1"/>
  </cols>
  <sheetData>
    <row r="1" spans="1:8" x14ac:dyDescent="0.25">
      <c r="D1" s="78"/>
      <c r="E1" s="78"/>
      <c r="F1" s="78" t="s">
        <v>331</v>
      </c>
      <c r="G1" s="78" t="s">
        <v>1371</v>
      </c>
      <c r="H1" s="78" t="s">
        <v>1372</v>
      </c>
    </row>
    <row r="3" spans="1:8" x14ac:dyDescent="0.25">
      <c r="A3" s="350" t="str">
        <f>"Tabela Referente à "&amp;G1</f>
        <v>Tabela Referente à Figura 6.35</v>
      </c>
      <c r="B3" s="350"/>
      <c r="C3" s="350"/>
    </row>
    <row r="4" spans="1:8" ht="32.25" customHeight="1" x14ac:dyDescent="0.25">
      <c r="A4" s="352" t="str">
        <f>H1</f>
        <v>Percentual de assentos comercializados com Yield inferior a R$ 0,30 por UF em 2018</v>
      </c>
      <c r="B4" s="352"/>
      <c r="C4" s="352"/>
    </row>
    <row r="5" spans="1:8" x14ac:dyDescent="0.25">
      <c r="A5" s="1" t="s">
        <v>66</v>
      </c>
      <c r="B5" s="1" t="s">
        <v>428</v>
      </c>
      <c r="C5" s="21" t="s">
        <v>703</v>
      </c>
      <c r="D5" s="78"/>
      <c r="E5" s="78" t="s">
        <v>538</v>
      </c>
    </row>
    <row r="6" spans="1:8" x14ac:dyDescent="0.25">
      <c r="A6" s="296" t="s">
        <v>343</v>
      </c>
      <c r="B6" s="156" t="s">
        <v>80</v>
      </c>
      <c r="C6" s="76">
        <v>0.41617222097095385</v>
      </c>
      <c r="D6" s="244">
        <f>COUNTIF(C6:C32,"&gt;0,5")</f>
        <v>21</v>
      </c>
      <c r="E6" s="78">
        <f>_xlfn.RANK.AVG($C6,$C$6:$C$32,0)</f>
        <v>26</v>
      </c>
    </row>
    <row r="7" spans="1:8" x14ac:dyDescent="0.25">
      <c r="A7" s="296" t="s">
        <v>369</v>
      </c>
      <c r="B7" s="157" t="s">
        <v>78</v>
      </c>
      <c r="C7" s="77">
        <v>0.58346461054766785</v>
      </c>
      <c r="D7" s="114" t="b">
        <f t="shared" ref="D7:D32" si="0">C7&gt;0.5</f>
        <v>1</v>
      </c>
      <c r="E7" s="78">
        <f t="shared" ref="E7:E32" si="1">_xlfn.RANK.AVG($C7,$C$6:$C$32,0)</f>
        <v>15</v>
      </c>
    </row>
    <row r="8" spans="1:8" x14ac:dyDescent="0.25">
      <c r="A8" s="296" t="s">
        <v>369</v>
      </c>
      <c r="B8" s="156" t="s">
        <v>82</v>
      </c>
      <c r="C8" s="76">
        <v>0.44800008672610792</v>
      </c>
      <c r="D8" s="114" t="b">
        <f t="shared" si="0"/>
        <v>0</v>
      </c>
      <c r="E8" s="78">
        <f t="shared" si="1"/>
        <v>24</v>
      </c>
    </row>
    <row r="9" spans="1:8" x14ac:dyDescent="0.25">
      <c r="A9" s="297" t="s">
        <v>342</v>
      </c>
      <c r="B9" s="157" t="s">
        <v>76</v>
      </c>
      <c r="C9" s="77">
        <v>0.54568341497432182</v>
      </c>
      <c r="D9" s="114" t="b">
        <f t="shared" si="0"/>
        <v>1</v>
      </c>
      <c r="E9" s="78">
        <f t="shared" si="1"/>
        <v>17</v>
      </c>
    </row>
    <row r="10" spans="1:8" x14ac:dyDescent="0.25">
      <c r="A10" s="297" t="s">
        <v>369</v>
      </c>
      <c r="B10" s="156" t="s">
        <v>83</v>
      </c>
      <c r="C10" s="76">
        <v>0.49554545527718286</v>
      </c>
      <c r="D10" s="114" t="b">
        <f t="shared" si="0"/>
        <v>0</v>
      </c>
      <c r="E10" s="78">
        <f t="shared" si="1"/>
        <v>22</v>
      </c>
    </row>
    <row r="11" spans="1:8" x14ac:dyDescent="0.25">
      <c r="A11" s="297" t="s">
        <v>369</v>
      </c>
      <c r="B11" s="157" t="s">
        <v>75</v>
      </c>
      <c r="C11" s="77">
        <v>0.42165571326206386</v>
      </c>
      <c r="D11" s="114" t="b">
        <f t="shared" si="0"/>
        <v>0</v>
      </c>
      <c r="E11" s="78">
        <f t="shared" si="1"/>
        <v>25</v>
      </c>
    </row>
    <row r="12" spans="1:8" x14ac:dyDescent="0.25">
      <c r="A12" s="297" t="s">
        <v>369</v>
      </c>
      <c r="B12" s="156" t="s">
        <v>94</v>
      </c>
      <c r="C12" s="76">
        <v>0.51644932443963787</v>
      </c>
      <c r="D12" s="114" t="b">
        <f t="shared" si="0"/>
        <v>1</v>
      </c>
      <c r="E12" s="78">
        <f t="shared" si="1"/>
        <v>20</v>
      </c>
    </row>
    <row r="13" spans="1:8" x14ac:dyDescent="0.25">
      <c r="A13" s="296" t="s">
        <v>341</v>
      </c>
      <c r="B13" s="157" t="s">
        <v>89</v>
      </c>
      <c r="C13" s="77">
        <v>0.53190676698649364</v>
      </c>
      <c r="D13" s="114" t="b">
        <f t="shared" si="0"/>
        <v>1</v>
      </c>
      <c r="E13" s="78">
        <f t="shared" si="1"/>
        <v>19</v>
      </c>
    </row>
    <row r="14" spans="1:8" x14ac:dyDescent="0.25">
      <c r="A14" s="296" t="s">
        <v>369</v>
      </c>
      <c r="B14" s="156" t="s">
        <v>97</v>
      </c>
      <c r="C14" s="76">
        <v>0.67121147398049053</v>
      </c>
      <c r="D14" s="114" t="b">
        <f t="shared" si="0"/>
        <v>1</v>
      </c>
      <c r="E14" s="78">
        <f t="shared" si="1"/>
        <v>8</v>
      </c>
    </row>
    <row r="15" spans="1:8" x14ac:dyDescent="0.25">
      <c r="A15" s="296" t="s">
        <v>369</v>
      </c>
      <c r="B15" s="157" t="s">
        <v>86</v>
      </c>
      <c r="C15" s="77">
        <v>0.61020858679555845</v>
      </c>
      <c r="D15" s="114" t="b">
        <f t="shared" si="0"/>
        <v>1</v>
      </c>
      <c r="E15" s="78">
        <f t="shared" si="1"/>
        <v>14</v>
      </c>
    </row>
    <row r="16" spans="1:8" x14ac:dyDescent="0.25">
      <c r="A16" s="296" t="s">
        <v>369</v>
      </c>
      <c r="B16" s="156" t="s">
        <v>77</v>
      </c>
      <c r="C16" s="76">
        <v>0.6347300333653787</v>
      </c>
      <c r="D16" s="114" t="b">
        <f t="shared" si="0"/>
        <v>1</v>
      </c>
      <c r="E16" s="78">
        <f t="shared" si="1"/>
        <v>12</v>
      </c>
    </row>
    <row r="17" spans="1:5" x14ac:dyDescent="0.25">
      <c r="A17" s="296" t="s">
        <v>369</v>
      </c>
      <c r="B17" s="157" t="s">
        <v>88</v>
      </c>
      <c r="C17" s="77">
        <v>0.33485102402979794</v>
      </c>
      <c r="D17" s="114" t="b">
        <f t="shared" si="0"/>
        <v>0</v>
      </c>
      <c r="E17" s="78">
        <f t="shared" si="1"/>
        <v>27</v>
      </c>
    </row>
    <row r="18" spans="1:5" x14ac:dyDescent="0.25">
      <c r="A18" s="296" t="s">
        <v>369</v>
      </c>
      <c r="B18" s="156" t="s">
        <v>74</v>
      </c>
      <c r="C18" s="76">
        <v>0.7117751942807371</v>
      </c>
      <c r="D18" s="114" t="b">
        <f t="shared" si="0"/>
        <v>1</v>
      </c>
      <c r="E18" s="78">
        <f t="shared" si="1"/>
        <v>5</v>
      </c>
    </row>
    <row r="19" spans="1:5" x14ac:dyDescent="0.25">
      <c r="A19" s="296" t="s">
        <v>369</v>
      </c>
      <c r="B19" s="157" t="s">
        <v>87</v>
      </c>
      <c r="C19" s="77">
        <v>0.74654800612833982</v>
      </c>
      <c r="D19" s="114" t="b">
        <f t="shared" si="0"/>
        <v>1</v>
      </c>
      <c r="E19" s="78">
        <f t="shared" si="1"/>
        <v>2</v>
      </c>
    </row>
    <row r="20" spans="1:5" x14ac:dyDescent="0.25">
      <c r="A20" s="295" t="s">
        <v>340</v>
      </c>
      <c r="B20" s="156" t="s">
        <v>96</v>
      </c>
      <c r="C20" s="76">
        <v>0.63788827693657957</v>
      </c>
      <c r="D20" s="114" t="b">
        <f t="shared" si="0"/>
        <v>1</v>
      </c>
      <c r="E20" s="78">
        <f t="shared" si="1"/>
        <v>11</v>
      </c>
    </row>
    <row r="21" spans="1:5" x14ac:dyDescent="0.25">
      <c r="A21" s="295" t="s">
        <v>369</v>
      </c>
      <c r="B21" s="157" t="s">
        <v>95</v>
      </c>
      <c r="C21" s="77">
        <v>0.73295969385668691</v>
      </c>
      <c r="D21" s="114" t="b">
        <f t="shared" si="0"/>
        <v>1</v>
      </c>
      <c r="E21" s="78">
        <f t="shared" si="1"/>
        <v>4</v>
      </c>
    </row>
    <row r="22" spans="1:5" x14ac:dyDescent="0.25">
      <c r="A22" s="295" t="s">
        <v>369</v>
      </c>
      <c r="B22" s="156" t="s">
        <v>98</v>
      </c>
      <c r="C22" s="76">
        <v>0.63397980243568131</v>
      </c>
      <c r="D22" s="114" t="b">
        <f t="shared" si="0"/>
        <v>1</v>
      </c>
      <c r="E22" s="78">
        <f t="shared" si="1"/>
        <v>13</v>
      </c>
    </row>
    <row r="23" spans="1:5" x14ac:dyDescent="0.25">
      <c r="A23" s="295" t="s">
        <v>369</v>
      </c>
      <c r="B23" s="157" t="s">
        <v>90</v>
      </c>
      <c r="C23" s="77">
        <v>0.68082261063268723</v>
      </c>
      <c r="D23" s="114" t="b">
        <f t="shared" si="0"/>
        <v>1</v>
      </c>
      <c r="E23" s="78">
        <f t="shared" si="1"/>
        <v>6</v>
      </c>
    </row>
    <row r="24" spans="1:5" x14ac:dyDescent="0.25">
      <c r="A24" s="295" t="s">
        <v>369</v>
      </c>
      <c r="B24" s="156" t="s">
        <v>91</v>
      </c>
      <c r="C24" s="76">
        <v>0.76981094091801272</v>
      </c>
      <c r="D24" s="114" t="b">
        <f t="shared" si="0"/>
        <v>1</v>
      </c>
      <c r="E24" s="78">
        <f t="shared" si="1"/>
        <v>1</v>
      </c>
    </row>
    <row r="25" spans="1:5" x14ac:dyDescent="0.25">
      <c r="A25" s="295" t="s">
        <v>369</v>
      </c>
      <c r="B25" s="157" t="s">
        <v>92</v>
      </c>
      <c r="C25" s="77">
        <v>0.67183751814718473</v>
      </c>
      <c r="D25" s="114" t="b">
        <f t="shared" si="0"/>
        <v>1</v>
      </c>
      <c r="E25" s="78">
        <f t="shared" si="1"/>
        <v>7</v>
      </c>
    </row>
    <row r="26" spans="1:5" x14ac:dyDescent="0.25">
      <c r="A26" s="295" t="s">
        <v>369</v>
      </c>
      <c r="B26" s="156" t="s">
        <v>93</v>
      </c>
      <c r="C26" s="76">
        <v>0.74427619833517933</v>
      </c>
      <c r="D26" s="114" t="b">
        <f t="shared" si="0"/>
        <v>1</v>
      </c>
      <c r="E26" s="78">
        <f t="shared" si="1"/>
        <v>3</v>
      </c>
    </row>
    <row r="27" spans="1:5" x14ac:dyDescent="0.25">
      <c r="A27" s="295" t="s">
        <v>369</v>
      </c>
      <c r="B27" s="157" t="s">
        <v>81</v>
      </c>
      <c r="C27" s="77">
        <v>0.55860400118766818</v>
      </c>
      <c r="D27" s="114" t="b">
        <f t="shared" si="0"/>
        <v>1</v>
      </c>
      <c r="E27" s="78">
        <f t="shared" si="1"/>
        <v>16</v>
      </c>
    </row>
    <row r="28" spans="1:5" x14ac:dyDescent="0.25">
      <c r="A28" s="295" t="s">
        <v>369</v>
      </c>
      <c r="B28" s="156" t="s">
        <v>99</v>
      </c>
      <c r="C28" s="76">
        <v>0.66340685498528384</v>
      </c>
      <c r="D28" s="114" t="b">
        <f t="shared" si="0"/>
        <v>1</v>
      </c>
      <c r="E28" s="78">
        <f t="shared" si="1"/>
        <v>9</v>
      </c>
    </row>
    <row r="29" spans="1:5" x14ac:dyDescent="0.25">
      <c r="A29" s="296" t="s">
        <v>339</v>
      </c>
      <c r="B29" s="157" t="s">
        <v>79</v>
      </c>
      <c r="C29" s="77">
        <v>0.50750968485918668</v>
      </c>
      <c r="D29" s="114" t="b">
        <f t="shared" si="0"/>
        <v>1</v>
      </c>
      <c r="E29" s="78">
        <f t="shared" si="1"/>
        <v>21</v>
      </c>
    </row>
    <row r="30" spans="1:5" x14ac:dyDescent="0.25">
      <c r="A30" s="296" t="s">
        <v>369</v>
      </c>
      <c r="B30" s="156" t="s">
        <v>84</v>
      </c>
      <c r="C30" s="76">
        <v>0.53247767774108623</v>
      </c>
      <c r="D30" s="114" t="b">
        <f t="shared" si="0"/>
        <v>1</v>
      </c>
      <c r="E30" s="78">
        <f t="shared" si="1"/>
        <v>18</v>
      </c>
    </row>
    <row r="31" spans="1:5" x14ac:dyDescent="0.25">
      <c r="A31" s="296" t="s">
        <v>369</v>
      </c>
      <c r="B31" s="157" t="s">
        <v>85</v>
      </c>
      <c r="C31" s="77">
        <v>0.45717724811379817</v>
      </c>
      <c r="D31" s="114" t="b">
        <f t="shared" si="0"/>
        <v>0</v>
      </c>
      <c r="E31" s="78">
        <f t="shared" si="1"/>
        <v>23</v>
      </c>
    </row>
    <row r="32" spans="1:5" x14ac:dyDescent="0.25">
      <c r="A32" s="296" t="s">
        <v>369</v>
      </c>
      <c r="B32" s="156" t="s">
        <v>100</v>
      </c>
      <c r="C32" s="76">
        <v>0.65662586663355671</v>
      </c>
      <c r="D32" s="114" t="b">
        <f t="shared" si="0"/>
        <v>1</v>
      </c>
      <c r="E32" s="78">
        <f t="shared" si="1"/>
        <v>10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Plan141"/>
  <dimension ref="A1:K21"/>
  <sheetViews>
    <sheetView showGridLines="0" workbookViewId="0">
      <selection activeCell="H6" sqref="H6:H15"/>
    </sheetView>
  </sheetViews>
  <sheetFormatPr defaultRowHeight="15" x14ac:dyDescent="0.25"/>
  <cols>
    <col min="1" max="1" width="15" customWidth="1"/>
    <col min="2" max="2" width="13.85546875" bestFit="1" customWidth="1"/>
    <col min="3" max="6" width="13.140625" customWidth="1"/>
    <col min="7" max="7" width="16.7109375" style="228" customWidth="1"/>
    <col min="8" max="8" width="19.7109375" customWidth="1"/>
  </cols>
  <sheetData>
    <row r="1" spans="1:11" x14ac:dyDescent="0.25">
      <c r="C1" s="78"/>
      <c r="D1" s="78"/>
      <c r="E1" s="78"/>
      <c r="F1" s="78"/>
      <c r="G1" s="78" t="s">
        <v>328</v>
      </c>
      <c r="H1" s="78" t="s">
        <v>1373</v>
      </c>
    </row>
    <row r="3" spans="1:11" x14ac:dyDescent="0.25">
      <c r="A3" s="350" t="str">
        <f>"Tabela Referente à "&amp;G1</f>
        <v>Tabela Referente à Figura 7.1</v>
      </c>
      <c r="B3" s="350"/>
      <c r="C3" s="350"/>
      <c r="D3" s="350"/>
      <c r="E3" s="350"/>
      <c r="F3" s="350"/>
      <c r="G3" s="350"/>
      <c r="H3" s="350"/>
    </row>
    <row r="4" spans="1:11" ht="15" customHeight="1" x14ac:dyDescent="0.25">
      <c r="A4" s="358" t="str">
        <f>H1</f>
        <v>Receita de Serviços Aéreos Públicos (R$ 1.000,00) da indústria, 2009 a 2018</v>
      </c>
      <c r="B4" s="358"/>
      <c r="C4" s="358"/>
      <c r="D4" s="358"/>
      <c r="E4" s="358"/>
      <c r="F4" s="358"/>
      <c r="G4" s="358"/>
      <c r="H4" s="358"/>
    </row>
    <row r="5" spans="1:11" x14ac:dyDescent="0.25">
      <c r="A5" s="86" t="s">
        <v>355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102</v>
      </c>
      <c r="G5" s="91" t="s">
        <v>6</v>
      </c>
      <c r="H5" s="91" t="s">
        <v>10</v>
      </c>
      <c r="I5" s="78"/>
      <c r="J5" s="78"/>
    </row>
    <row r="6" spans="1:11" x14ac:dyDescent="0.25">
      <c r="A6" s="93">
        <v>2009</v>
      </c>
      <c r="B6" s="89">
        <v>8604371.6015399992</v>
      </c>
      <c r="C6" s="90">
        <v>5832428.7112199999</v>
      </c>
      <c r="D6" s="90">
        <v>376590.19054000004</v>
      </c>
      <c r="E6" s="90">
        <v>419159.03538999998</v>
      </c>
      <c r="F6" s="90">
        <v>199589.56721000001</v>
      </c>
      <c r="G6" s="90">
        <v>1091651.9607200008</v>
      </c>
      <c r="H6" s="90">
        <v>16523791.066620002</v>
      </c>
      <c r="I6" s="78"/>
      <c r="J6" s="78"/>
    </row>
    <row r="7" spans="1:11" x14ac:dyDescent="0.25">
      <c r="A7" s="92">
        <v>2010</v>
      </c>
      <c r="B7" s="87">
        <v>10288871.649550002</v>
      </c>
      <c r="C7" s="88">
        <v>6915529.7589999996</v>
      </c>
      <c r="D7" s="88">
        <v>868998.26078000001</v>
      </c>
      <c r="E7" s="88">
        <v>576442.43971000006</v>
      </c>
      <c r="F7" s="88">
        <v>519364.15134999994</v>
      </c>
      <c r="G7" s="88">
        <v>1785804.6070999987</v>
      </c>
      <c r="H7" s="88">
        <v>20955010.867489997</v>
      </c>
      <c r="I7" s="114">
        <f>H7/H6-1</f>
        <v>0.26817210306063366</v>
      </c>
      <c r="J7" s="78"/>
    </row>
    <row r="8" spans="1:11" x14ac:dyDescent="0.25">
      <c r="A8" s="93">
        <v>2011</v>
      </c>
      <c r="B8" s="89">
        <v>11516534.335560001</v>
      </c>
      <c r="C8" s="90">
        <v>7182091.3030000003</v>
      </c>
      <c r="D8" s="90">
        <v>1717028.8285899996</v>
      </c>
      <c r="E8" s="90">
        <v>833627.76584999997</v>
      </c>
      <c r="F8" s="90">
        <v>616023.70143999998</v>
      </c>
      <c r="G8" s="90">
        <v>2486881.5282400027</v>
      </c>
      <c r="H8" s="90">
        <v>24352187.462680001</v>
      </c>
      <c r="I8" s="114">
        <f>H8/H7-1</f>
        <v>0.1621176250717411</v>
      </c>
      <c r="J8" s="78"/>
    </row>
    <row r="9" spans="1:11" x14ac:dyDescent="0.25">
      <c r="A9" s="92">
        <v>2012</v>
      </c>
      <c r="B9" s="87">
        <v>12174518.179680001</v>
      </c>
      <c r="C9" s="88">
        <v>7103930.898</v>
      </c>
      <c r="D9" s="88">
        <v>2550174.8905499997</v>
      </c>
      <c r="E9" s="88">
        <v>1319911.38916</v>
      </c>
      <c r="F9" s="88">
        <v>817345.21074000001</v>
      </c>
      <c r="G9" s="88">
        <v>2572617.6502000019</v>
      </c>
      <c r="H9" s="88">
        <v>26538498.21833</v>
      </c>
      <c r="I9" s="114">
        <f>H9/H8-1</f>
        <v>8.9778824140564151E-2</v>
      </c>
      <c r="J9" s="78"/>
    </row>
    <row r="10" spans="1:11" x14ac:dyDescent="0.25">
      <c r="A10" s="93">
        <v>2013</v>
      </c>
      <c r="B10" s="89">
        <v>13265776.266829997</v>
      </c>
      <c r="C10" s="90">
        <v>8721617.8651900012</v>
      </c>
      <c r="D10" s="90">
        <v>3781508.0985100004</v>
      </c>
      <c r="E10" s="90">
        <v>1796718.50012</v>
      </c>
      <c r="F10" s="90">
        <v>1003518.1773599999</v>
      </c>
      <c r="G10" s="90">
        <v>2427263.7793100029</v>
      </c>
      <c r="H10" s="90">
        <v>30996402.687319998</v>
      </c>
      <c r="I10" s="114">
        <f>H10/H9-1</f>
        <v>0.16797877680625306</v>
      </c>
      <c r="J10" s="78"/>
    </row>
    <row r="11" spans="1:11" x14ac:dyDescent="0.25">
      <c r="A11" s="92">
        <v>2014</v>
      </c>
      <c r="B11" s="87">
        <v>13871365.139470002</v>
      </c>
      <c r="C11" s="88">
        <v>9661990.2174500003</v>
      </c>
      <c r="D11" s="88">
        <v>5366283.44307</v>
      </c>
      <c r="E11" s="88">
        <v>2219797.1488800002</v>
      </c>
      <c r="F11" s="88">
        <v>1002999.7357999999</v>
      </c>
      <c r="G11" s="88">
        <v>535993.44378000125</v>
      </c>
      <c r="H11" s="88">
        <v>32658429.12845001</v>
      </c>
      <c r="I11" s="114">
        <f>H11/H10-1</f>
        <v>5.361997835348542E-2</v>
      </c>
      <c r="J11" s="114">
        <f>(H11/H6)^(1/5)-1</f>
        <v>0.14598021378983894</v>
      </c>
    </row>
    <row r="12" spans="1:11" x14ac:dyDescent="0.25">
      <c r="A12" s="93">
        <v>2015</v>
      </c>
      <c r="B12" s="89">
        <v>14503764.94105</v>
      </c>
      <c r="C12" s="90">
        <v>9725923.8166599981</v>
      </c>
      <c r="D12" s="90">
        <v>6646715.9492999995</v>
      </c>
      <c r="E12" s="90">
        <v>2778804.301</v>
      </c>
      <c r="F12" s="90">
        <v>1079192.8488099999</v>
      </c>
      <c r="G12" s="90">
        <v>498213.36541000009</v>
      </c>
      <c r="H12" s="90">
        <v>35232615.222230002</v>
      </c>
      <c r="I12" s="114"/>
      <c r="J12" s="114"/>
    </row>
    <row r="13" spans="1:11" x14ac:dyDescent="0.25">
      <c r="A13" s="92">
        <v>2016</v>
      </c>
      <c r="B13" s="87">
        <v>14304643.315880001</v>
      </c>
      <c r="C13" s="87">
        <v>9605521.8062199969</v>
      </c>
      <c r="D13" s="87">
        <v>7020909.1792399995</v>
      </c>
      <c r="E13" s="87">
        <v>3133434.6210000003</v>
      </c>
      <c r="F13" s="87">
        <v>897054.10079000005</v>
      </c>
      <c r="G13" s="200">
        <v>503679.00791999698</v>
      </c>
      <c r="H13" s="87">
        <v>35465242.031049997</v>
      </c>
      <c r="I13" s="114">
        <v>1.0231845999400635E-2</v>
      </c>
      <c r="J13" s="114">
        <v>0.11598451595034165</v>
      </c>
    </row>
    <row r="14" spans="1:11" s="228" customFormat="1" x14ac:dyDescent="0.25">
      <c r="A14" s="93">
        <v>2017</v>
      </c>
      <c r="B14" s="89">
        <v>14959396.71188</v>
      </c>
      <c r="C14" s="90">
        <v>10059788.01409</v>
      </c>
      <c r="D14" s="90">
        <v>8101143.3493800005</v>
      </c>
      <c r="E14" s="90">
        <v>3728755.3330000001</v>
      </c>
      <c r="F14" s="90">
        <v>929759.84824999992</v>
      </c>
      <c r="G14" s="90">
        <v>0</v>
      </c>
      <c r="H14" s="90">
        <v>37778843.2566</v>
      </c>
      <c r="I14" s="114">
        <f>H14/H13-1</f>
        <v>6.5235737670264138E-2</v>
      </c>
      <c r="J14" s="114">
        <f>(H14/H7)^(1/COUNT(H8:H14))-1</f>
        <v>8.7842003518363132E-2</v>
      </c>
      <c r="K14" s="182"/>
    </row>
    <row r="15" spans="1:11" s="320" customFormat="1" x14ac:dyDescent="0.25">
      <c r="A15" s="92">
        <v>2018</v>
      </c>
      <c r="B15" s="87">
        <v>16444064.329569999</v>
      </c>
      <c r="C15" s="87">
        <v>11168376.198249999</v>
      </c>
      <c r="D15" s="87">
        <v>9525013.7333400007</v>
      </c>
      <c r="E15" s="87">
        <v>4795553.5149999997</v>
      </c>
      <c r="F15" s="87">
        <v>1227084.68927</v>
      </c>
      <c r="G15" s="200">
        <v>0</v>
      </c>
      <c r="H15" s="87">
        <v>43160092.465429999</v>
      </c>
      <c r="I15" s="114"/>
      <c r="J15" s="114"/>
      <c r="K15" s="182"/>
    </row>
    <row r="16" spans="1:11" x14ac:dyDescent="0.25">
      <c r="A16" s="86"/>
      <c r="B16" s="91"/>
      <c r="C16" s="91"/>
      <c r="D16" s="91"/>
      <c r="E16" s="91"/>
      <c r="F16" s="91"/>
      <c r="G16" s="91"/>
      <c r="H16" s="91"/>
      <c r="I16" s="114"/>
    </row>
    <row r="17" spans="2:10" x14ac:dyDescent="0.25">
      <c r="B17" s="113" t="s">
        <v>8</v>
      </c>
      <c r="C17" s="113" t="s">
        <v>372</v>
      </c>
      <c r="D17" s="113" t="s">
        <v>373</v>
      </c>
      <c r="E17" s="113" t="s">
        <v>374</v>
      </c>
      <c r="F17" s="113" t="s">
        <v>527</v>
      </c>
      <c r="G17" s="113"/>
      <c r="H17" s="113" t="s">
        <v>10</v>
      </c>
      <c r="I17" s="114">
        <f>H14/H13-1</f>
        <v>6.5235737670264138E-2</v>
      </c>
      <c r="J17" s="114">
        <f>(H14/H7)^(1/(COUNTA(H7:H14)-1))-1</f>
        <v>8.7842003518363132E-2</v>
      </c>
    </row>
    <row r="20" spans="2:10" x14ac:dyDescent="0.25">
      <c r="G20" s="78"/>
    </row>
    <row r="21" spans="2:10" x14ac:dyDescent="0.25">
      <c r="G21" s="78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Plan142"/>
  <dimension ref="A1:H15"/>
  <sheetViews>
    <sheetView showGridLines="0" workbookViewId="0">
      <selection activeCell="B14" sqref="B6:B14"/>
    </sheetView>
  </sheetViews>
  <sheetFormatPr defaultRowHeight="15" x14ac:dyDescent="0.25"/>
  <cols>
    <col min="1" max="1" width="13.85546875" customWidth="1"/>
    <col min="2" max="2" width="40.5703125" customWidth="1"/>
  </cols>
  <sheetData>
    <row r="1" spans="1:8" x14ac:dyDescent="0.25">
      <c r="C1" s="78"/>
      <c r="D1" s="78"/>
      <c r="E1" s="78"/>
      <c r="F1" s="78"/>
      <c r="G1" s="78" t="s">
        <v>329</v>
      </c>
      <c r="H1" s="78" t="s">
        <v>1374</v>
      </c>
    </row>
    <row r="3" spans="1:8" x14ac:dyDescent="0.25">
      <c r="A3" s="350" t="str">
        <f>"Tabela Referente à "&amp;G1</f>
        <v>Tabela Referente à Figura 7.2</v>
      </c>
      <c r="B3" s="350"/>
    </row>
    <row r="4" spans="1:8" ht="34.5" customHeight="1" x14ac:dyDescent="0.25">
      <c r="A4" s="359" t="str">
        <f>H1</f>
        <v>Variação da Receita de Serviços aéreos Públicos da indústria com relação ao ano anterior, 2010 a 2018</v>
      </c>
      <c r="B4" s="359"/>
    </row>
    <row r="5" spans="1:8" x14ac:dyDescent="0.25">
      <c r="A5" s="94" t="s">
        <v>20</v>
      </c>
      <c r="B5" s="91" t="s">
        <v>357</v>
      </c>
      <c r="C5" s="69"/>
      <c r="D5" s="69"/>
      <c r="E5" s="69"/>
      <c r="F5" s="69"/>
    </row>
    <row r="6" spans="1:8" x14ac:dyDescent="0.25">
      <c r="A6" s="92">
        <v>2010</v>
      </c>
      <c r="B6" s="101">
        <f>'Fig 7.1'!H7/'Fig 7.1'!H6-1</f>
        <v>0.26817210306063366</v>
      </c>
      <c r="C6" s="69"/>
      <c r="D6" s="69"/>
      <c r="E6" s="69"/>
    </row>
    <row r="7" spans="1:8" x14ac:dyDescent="0.25">
      <c r="A7" s="93">
        <v>2011</v>
      </c>
      <c r="B7" s="100">
        <f>'Fig 7.1'!H8/'Fig 7.1'!H7-1</f>
        <v>0.1621176250717411</v>
      </c>
    </row>
    <row r="8" spans="1:8" x14ac:dyDescent="0.25">
      <c r="A8" s="92">
        <v>2012</v>
      </c>
      <c r="B8" s="101">
        <f>'Fig 7.1'!H9/'Fig 7.1'!H8-1</f>
        <v>8.9778824140564151E-2</v>
      </c>
    </row>
    <row r="9" spans="1:8" x14ac:dyDescent="0.25">
      <c r="A9" s="93">
        <v>2013</v>
      </c>
      <c r="B9" s="100">
        <f>'Fig 7.1'!H10/'Fig 7.1'!H9-1</f>
        <v>0.16797877680625306</v>
      </c>
    </row>
    <row r="10" spans="1:8" x14ac:dyDescent="0.25">
      <c r="A10" s="92">
        <v>2014</v>
      </c>
      <c r="B10" s="101">
        <f>'Fig 7.1'!H11/'Fig 7.1'!H10-1</f>
        <v>5.361997835348542E-2</v>
      </c>
    </row>
    <row r="11" spans="1:8" x14ac:dyDescent="0.25">
      <c r="A11" s="93">
        <v>2015</v>
      </c>
      <c r="B11" s="100">
        <f>'Fig 7.1'!H12/'Fig 7.1'!H11-1</f>
        <v>7.8821491494749152E-2</v>
      </c>
    </row>
    <row r="12" spans="1:8" x14ac:dyDescent="0.25">
      <c r="A12" s="92">
        <v>2016</v>
      </c>
      <c r="B12" s="101">
        <f>'Fig 7.1'!H13/'Fig 7.1'!H12-1</f>
        <v>6.6025983978963421E-3</v>
      </c>
    </row>
    <row r="13" spans="1:8" x14ac:dyDescent="0.25">
      <c r="A13" s="93">
        <v>2017</v>
      </c>
      <c r="B13" s="100">
        <f>'Fig 7.1'!H14/'Fig 7.1'!H13-1</f>
        <v>6.5235737670264138E-2</v>
      </c>
    </row>
    <row r="14" spans="1:8" x14ac:dyDescent="0.25">
      <c r="A14" s="92">
        <v>2018</v>
      </c>
      <c r="B14" s="101">
        <f>'Fig 7.1'!H15/'Fig 7.1'!H14-1</f>
        <v>0.14244081461890423</v>
      </c>
    </row>
    <row r="15" spans="1:8" x14ac:dyDescent="0.25">
      <c r="A15" s="94"/>
      <c r="B15" s="9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Plan144"/>
  <dimension ref="A1:H12"/>
  <sheetViews>
    <sheetView showGridLines="0" workbookViewId="0">
      <selection activeCell="B6" sqref="B6"/>
    </sheetView>
  </sheetViews>
  <sheetFormatPr defaultRowHeight="15" x14ac:dyDescent="0.25"/>
  <cols>
    <col min="1" max="2" width="37.28515625" customWidth="1"/>
  </cols>
  <sheetData>
    <row r="1" spans="1:8" x14ac:dyDescent="0.25">
      <c r="C1" s="78"/>
      <c r="D1" s="78"/>
      <c r="E1" s="78"/>
      <c r="F1" s="78"/>
      <c r="G1" s="78" t="s">
        <v>330</v>
      </c>
      <c r="H1" s="78" t="s">
        <v>1375</v>
      </c>
    </row>
    <row r="3" spans="1:8" x14ac:dyDescent="0.25">
      <c r="A3" s="350" t="str">
        <f>"Tabela Referente à "&amp;G1</f>
        <v>Tabela Referente à Figura 7.3</v>
      </c>
      <c r="B3" s="350"/>
    </row>
    <row r="4" spans="1:8" ht="17.25" customHeight="1" x14ac:dyDescent="0.25">
      <c r="A4" s="360" t="str">
        <f>H1</f>
        <v>Composição das receitas de serviços aéreos públicos da indústria, 2018</v>
      </c>
      <c r="B4" s="360"/>
    </row>
    <row r="5" spans="1:8" ht="17.25" customHeight="1" x14ac:dyDescent="0.25">
      <c r="A5" s="94" t="s">
        <v>356</v>
      </c>
      <c r="B5" s="91" t="s">
        <v>1432</v>
      </c>
    </row>
    <row r="6" spans="1:8" x14ac:dyDescent="0.25">
      <c r="A6" s="92" t="s">
        <v>508</v>
      </c>
      <c r="B6" s="101">
        <v>0.8349108433016651</v>
      </c>
    </row>
    <row r="7" spans="1:8" x14ac:dyDescent="0.25">
      <c r="A7" s="93" t="s">
        <v>491</v>
      </c>
      <c r="B7" s="100">
        <v>1.7492296175099918E-2</v>
      </c>
    </row>
    <row r="8" spans="1:8" x14ac:dyDescent="0.25">
      <c r="A8" s="92" t="s">
        <v>759</v>
      </c>
      <c r="B8" s="101">
        <v>7.2165012670321424E-2</v>
      </c>
    </row>
    <row r="9" spans="1:8" x14ac:dyDescent="0.25">
      <c r="A9" s="93" t="s">
        <v>492</v>
      </c>
      <c r="B9" s="100">
        <v>1.5541782802418217E-2</v>
      </c>
    </row>
    <row r="10" spans="1:8" x14ac:dyDescent="0.25">
      <c r="A10" s="92" t="s">
        <v>493</v>
      </c>
      <c r="B10" s="101">
        <v>3.3244909920183245E-2</v>
      </c>
    </row>
    <row r="11" spans="1:8" x14ac:dyDescent="0.25">
      <c r="A11" s="93" t="s">
        <v>6</v>
      </c>
      <c r="B11" s="100">
        <v>2.6645155130312178E-2</v>
      </c>
    </row>
    <row r="12" spans="1:8" x14ac:dyDescent="0.25">
      <c r="A12" s="94"/>
      <c r="B12" s="137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21"/>
  <dimension ref="A1:H11"/>
  <sheetViews>
    <sheetView showGridLines="0" workbookViewId="0"/>
  </sheetViews>
  <sheetFormatPr defaultRowHeight="15" x14ac:dyDescent="0.25"/>
  <cols>
    <col min="1" max="1" width="11.42578125" bestFit="1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1138</v>
      </c>
      <c r="H1" s="78" t="s">
        <v>1139</v>
      </c>
    </row>
    <row r="3" spans="1:8" x14ac:dyDescent="0.25">
      <c r="A3" s="350" t="str">
        <f>"Tabela Referente à "&amp;G1</f>
        <v>Tabela Referente à Figura 2.8</v>
      </c>
      <c r="B3" s="350"/>
    </row>
    <row r="4" spans="1:8" ht="31.5" customHeight="1" x14ac:dyDescent="0.25">
      <c r="A4" s="351" t="str">
        <f>H1</f>
        <v>Variação na quantidade de voos com relação ao ano anterior por empresa – mercado doméstico, 2018</v>
      </c>
      <c r="B4" s="351"/>
    </row>
    <row r="5" spans="1:8" x14ac:dyDescent="0.25">
      <c r="A5" s="1" t="s">
        <v>7</v>
      </c>
      <c r="B5" s="21" t="s">
        <v>762</v>
      </c>
    </row>
    <row r="6" spans="1:8" x14ac:dyDescent="0.25">
      <c r="A6" s="27" t="s">
        <v>61</v>
      </c>
      <c r="B6" s="10">
        <v>7.8806005160684922E-2</v>
      </c>
    </row>
    <row r="7" spans="1:8" x14ac:dyDescent="0.25">
      <c r="A7" s="28" t="s">
        <v>526</v>
      </c>
      <c r="B7" s="11">
        <v>2.0436461915470883E-2</v>
      </c>
    </row>
    <row r="8" spans="1:8" x14ac:dyDescent="0.25">
      <c r="A8" s="27" t="s">
        <v>60</v>
      </c>
      <c r="B8" s="10">
        <v>1.2828123070303121E-3</v>
      </c>
    </row>
    <row r="9" spans="1:8" x14ac:dyDescent="0.25">
      <c r="A9" s="28" t="s">
        <v>59</v>
      </c>
      <c r="B9" s="11">
        <v>-2.1070446371905804E-3</v>
      </c>
    </row>
    <row r="10" spans="1:8" x14ac:dyDescent="0.25">
      <c r="A10" s="27" t="s">
        <v>6</v>
      </c>
      <c r="B10" s="10">
        <v>-5.9659995945436917E-3</v>
      </c>
    </row>
    <row r="11" spans="1:8" x14ac:dyDescent="0.25">
      <c r="A11" s="1" t="s">
        <v>10</v>
      </c>
      <c r="B11" s="170">
        <v>1.2899269000039792E-2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Plan146"/>
  <dimension ref="A1:L17"/>
  <sheetViews>
    <sheetView showGridLines="0" workbookViewId="0">
      <selection activeCell="C7" sqref="C7"/>
    </sheetView>
  </sheetViews>
  <sheetFormatPr defaultRowHeight="15" x14ac:dyDescent="0.25"/>
  <cols>
    <col min="1" max="1" width="32.140625" bestFit="1" customWidth="1"/>
    <col min="2" max="2" width="18.140625" customWidth="1"/>
    <col min="3" max="3" width="19" customWidth="1"/>
    <col min="4" max="4" width="17.5703125" customWidth="1"/>
    <col min="5" max="5" width="17.7109375" customWidth="1"/>
    <col min="6" max="6" width="15.42578125" bestFit="1" customWidth="1"/>
    <col min="7" max="7" width="15.28515625" bestFit="1" customWidth="1"/>
    <col min="8" max="8" width="14.28515625" customWidth="1"/>
    <col min="10" max="10" width="9.140625" style="320"/>
  </cols>
  <sheetData>
    <row r="1" spans="1:12" x14ac:dyDescent="0.25">
      <c r="C1" s="78"/>
      <c r="D1" s="78"/>
      <c r="E1" s="78"/>
      <c r="F1" s="78"/>
      <c r="G1" s="78" t="s">
        <v>331</v>
      </c>
      <c r="H1" s="78" t="s">
        <v>1376</v>
      </c>
    </row>
    <row r="3" spans="1:12" x14ac:dyDescent="0.25">
      <c r="A3" s="350" t="str">
        <f>"Tabela Referente à "&amp;G1</f>
        <v>Tabela Referente à Figura 7.4</v>
      </c>
      <c r="B3" s="350"/>
      <c r="C3" s="350"/>
      <c r="D3" s="350"/>
      <c r="E3" s="350"/>
      <c r="F3" s="350"/>
      <c r="G3" s="350"/>
    </row>
    <row r="4" spans="1:12" ht="15" customHeight="1" x14ac:dyDescent="0.25">
      <c r="A4" s="358" t="str">
        <f>H1</f>
        <v>Evolução da composição da Receita de Voo por tipo de receita, 2009 a 2018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</row>
    <row r="5" spans="1:12" x14ac:dyDescent="0.25">
      <c r="A5" s="94" t="s">
        <v>356</v>
      </c>
      <c r="B5" s="91">
        <v>2009</v>
      </c>
      <c r="C5" s="91">
        <v>2010</v>
      </c>
      <c r="D5" s="91">
        <v>2011</v>
      </c>
      <c r="E5" s="91">
        <v>2012</v>
      </c>
      <c r="F5" s="91">
        <v>2013</v>
      </c>
      <c r="G5" s="91">
        <v>2014</v>
      </c>
      <c r="H5" s="91">
        <v>2015</v>
      </c>
      <c r="I5" s="91">
        <v>2016</v>
      </c>
      <c r="J5" s="91">
        <v>2017</v>
      </c>
      <c r="K5" s="91">
        <v>2018</v>
      </c>
    </row>
    <row r="6" spans="1:12" x14ac:dyDescent="0.25">
      <c r="A6" s="92" t="s">
        <v>490</v>
      </c>
      <c r="B6" s="101">
        <v>0.88637103267766826</v>
      </c>
      <c r="C6" s="101">
        <v>0.86796825092501628</v>
      </c>
      <c r="D6" s="101">
        <v>0.86614934770704632</v>
      </c>
      <c r="E6" s="101">
        <v>0.87197388003804677</v>
      </c>
      <c r="F6" s="101">
        <v>0.86237426217478141</v>
      </c>
      <c r="G6" s="101">
        <v>0.87969460393343535</v>
      </c>
      <c r="H6" s="101">
        <v>0.82368009590215108</v>
      </c>
      <c r="I6" s="267">
        <v>0.83858011512643582</v>
      </c>
      <c r="J6" s="267">
        <v>0.84340813594612929</v>
      </c>
      <c r="K6" s="101">
        <f>'Fig 7.3'!B6</f>
        <v>0.8349108433016651</v>
      </c>
      <c r="L6" s="11"/>
    </row>
    <row r="7" spans="1:12" x14ac:dyDescent="0.25">
      <c r="A7" s="93" t="s">
        <v>491</v>
      </c>
      <c r="B7" s="100">
        <v>5.9062785783555189E-3</v>
      </c>
      <c r="C7" s="100">
        <v>5.6166064324307211E-3</v>
      </c>
      <c r="D7" s="100">
        <v>6.8828082046783852E-3</v>
      </c>
      <c r="E7" s="100">
        <v>8.9323163695928607E-3</v>
      </c>
      <c r="F7" s="100">
        <v>7.3084997441548848E-3</v>
      </c>
      <c r="G7" s="100">
        <v>7.8011155444111108E-3</v>
      </c>
      <c r="H7" s="100">
        <v>8.1374486623151526E-3</v>
      </c>
      <c r="I7" s="268">
        <v>7.9660253827485896E-3</v>
      </c>
      <c r="J7" s="268">
        <v>1.0627572337854945E-2</v>
      </c>
      <c r="K7" s="100">
        <f>'Fig 7.3'!B7</f>
        <v>1.7492296175099918E-2</v>
      </c>
      <c r="L7" s="11"/>
    </row>
    <row r="8" spans="1:12" x14ac:dyDescent="0.25">
      <c r="A8" s="92" t="s">
        <v>759</v>
      </c>
      <c r="B8" s="101">
        <v>8.0269900422513141E-2</v>
      </c>
      <c r="C8" s="101">
        <v>9.525180909911321E-2</v>
      </c>
      <c r="D8" s="101">
        <v>9.3181939603477079E-2</v>
      </c>
      <c r="E8" s="101">
        <v>8.1784070910270942E-2</v>
      </c>
      <c r="F8" s="101">
        <v>0.10172356239099498</v>
      </c>
      <c r="G8" s="101">
        <v>7.9610680745359999E-2</v>
      </c>
      <c r="H8" s="101">
        <v>7.4979340319114574E-2</v>
      </c>
      <c r="I8" s="267">
        <v>8.0659797193731606E-2</v>
      </c>
      <c r="J8" s="267">
        <v>7.5380586108403091E-2</v>
      </c>
      <c r="K8" s="101">
        <f>'Fig 7.3'!B8</f>
        <v>7.2165012670321424E-2</v>
      </c>
      <c r="L8" s="11"/>
    </row>
    <row r="9" spans="1:12" x14ac:dyDescent="0.25">
      <c r="A9" s="93" t="s">
        <v>492</v>
      </c>
      <c r="B9" s="100"/>
      <c r="C9" s="100"/>
      <c r="D9" s="100"/>
      <c r="E9" s="100"/>
      <c r="F9" s="100"/>
      <c r="G9" s="100"/>
      <c r="H9" s="100">
        <v>1.7544587592237086E-2</v>
      </c>
      <c r="I9" s="268">
        <v>2.1317092102306198E-2</v>
      </c>
      <c r="J9" s="268">
        <v>2.1493211057174041E-2</v>
      </c>
      <c r="K9" s="100">
        <v>1.5541782802418217E-2</v>
      </c>
      <c r="L9" s="11"/>
    </row>
    <row r="10" spans="1:12" x14ac:dyDescent="0.25">
      <c r="A10" s="92" t="s">
        <v>493</v>
      </c>
      <c r="B10" s="101"/>
      <c r="C10" s="101"/>
      <c r="D10" s="101"/>
      <c r="E10" s="101"/>
      <c r="F10" s="101"/>
      <c r="G10" s="101"/>
      <c r="H10" s="101">
        <v>4.6093786243416153E-2</v>
      </c>
      <c r="I10" s="267">
        <v>3.05578573328954E-2</v>
      </c>
      <c r="J10" s="267">
        <v>3.1171371403338793E-2</v>
      </c>
      <c r="K10" s="101">
        <v>3.3244909920183245E-2</v>
      </c>
      <c r="L10" s="11"/>
    </row>
    <row r="11" spans="1:12" x14ac:dyDescent="0.25">
      <c r="A11" s="93" t="s">
        <v>6</v>
      </c>
      <c r="B11" s="100">
        <v>2.7452788320857794E-2</v>
      </c>
      <c r="C11" s="100">
        <v>3.1163333542485534E-2</v>
      </c>
      <c r="D11" s="100">
        <v>3.378590448479793E-2</v>
      </c>
      <c r="E11" s="100">
        <v>3.7309732682089473E-2</v>
      </c>
      <c r="F11" s="100">
        <v>2.859367568974602E-2</v>
      </c>
      <c r="G11" s="100">
        <v>3.2893599776793202E-2</v>
      </c>
      <c r="H11" s="100">
        <v>2.9564741280765774E-2</v>
      </c>
      <c r="I11" s="268">
        <v>2.09188556784109E-2</v>
      </c>
      <c r="J11" s="268">
        <v>1.7919123147099897E-2</v>
      </c>
      <c r="K11" s="100">
        <v>2.6645155130312178E-2</v>
      </c>
    </row>
    <row r="12" spans="1:12" x14ac:dyDescent="0.25">
      <c r="A12" s="94" t="s">
        <v>104</v>
      </c>
      <c r="B12" s="144">
        <v>1</v>
      </c>
      <c r="C12" s="144">
        <v>1</v>
      </c>
      <c r="D12" s="144">
        <v>1</v>
      </c>
      <c r="E12" s="144">
        <v>1</v>
      </c>
      <c r="F12" s="144">
        <v>1</v>
      </c>
      <c r="G12" s="144">
        <v>1</v>
      </c>
      <c r="H12" s="144">
        <v>1</v>
      </c>
      <c r="I12" s="144">
        <v>1</v>
      </c>
      <c r="J12" s="144">
        <f>SUM(J6:J11)</f>
        <v>1.0000000000000002</v>
      </c>
      <c r="K12" s="144">
        <v>1</v>
      </c>
    </row>
    <row r="13" spans="1:12" x14ac:dyDescent="0.25">
      <c r="B13" s="66"/>
      <c r="C13" s="66"/>
      <c r="D13" s="66"/>
      <c r="E13" s="66"/>
      <c r="F13" s="66"/>
    </row>
    <row r="14" spans="1:12" x14ac:dyDescent="0.25">
      <c r="B14" s="66"/>
      <c r="C14" s="66"/>
      <c r="D14" s="66"/>
      <c r="E14" s="66"/>
      <c r="F14" s="66"/>
    </row>
    <row r="15" spans="1:12" x14ac:dyDescent="0.25">
      <c r="B15" s="66"/>
      <c r="C15" s="66"/>
      <c r="D15" s="66"/>
      <c r="E15" s="66"/>
      <c r="F15" s="66"/>
    </row>
    <row r="16" spans="1:12" x14ac:dyDescent="0.25">
      <c r="B16" s="66"/>
      <c r="C16" s="66"/>
      <c r="D16" s="66"/>
      <c r="E16" s="66"/>
      <c r="F16" s="66"/>
    </row>
    <row r="17" spans="2:6" x14ac:dyDescent="0.25">
      <c r="B17" s="66"/>
      <c r="C17" s="66"/>
      <c r="D17" s="66"/>
      <c r="E17" s="66"/>
      <c r="F17" s="66"/>
    </row>
  </sheetData>
  <mergeCells count="2">
    <mergeCell ref="A3:G3"/>
    <mergeCell ref="A4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Plan148"/>
  <dimension ref="A1:H17"/>
  <sheetViews>
    <sheetView showGridLines="0" topLeftCell="A4" workbookViewId="0">
      <selection activeCell="G8" sqref="G8"/>
    </sheetView>
  </sheetViews>
  <sheetFormatPr defaultRowHeight="15" x14ac:dyDescent="0.25"/>
  <cols>
    <col min="1" max="1" width="14.42578125" bestFit="1" customWidth="1"/>
    <col min="2" max="4" width="11.140625" customWidth="1"/>
    <col min="5" max="5" width="13.28515625" bestFit="1" customWidth="1"/>
    <col min="6" max="7" width="11.140625" customWidth="1"/>
    <col min="8" max="8" width="10.140625" bestFit="1" customWidth="1"/>
  </cols>
  <sheetData>
    <row r="1" spans="1:8" x14ac:dyDescent="0.25">
      <c r="C1" s="78"/>
      <c r="D1" s="78"/>
      <c r="E1" s="78"/>
      <c r="F1" s="78"/>
      <c r="G1" s="78" t="s">
        <v>332</v>
      </c>
      <c r="H1" s="78" t="s">
        <v>1377</v>
      </c>
    </row>
    <row r="3" spans="1:8" x14ac:dyDescent="0.25">
      <c r="A3" s="350" t="str">
        <f>"Tabela Referente à "&amp;G1</f>
        <v>Tabela Referente à Figura 7.5</v>
      </c>
      <c r="B3" s="350"/>
      <c r="C3" s="350"/>
      <c r="D3" s="350"/>
      <c r="E3" s="350"/>
      <c r="F3" s="350"/>
      <c r="G3" s="350"/>
      <c r="H3" s="350"/>
    </row>
    <row r="4" spans="1:8" x14ac:dyDescent="0.25">
      <c r="A4" s="358" t="str">
        <f>H1</f>
        <v>Receita de Serviços Aéreos Públicos (R$ 1.000,00) por empresa, 2015 a 2018</v>
      </c>
      <c r="B4" s="358"/>
      <c r="C4" s="358"/>
      <c r="D4" s="358"/>
      <c r="E4" s="358"/>
      <c r="F4" s="358"/>
      <c r="G4" s="358"/>
      <c r="H4" s="358"/>
    </row>
    <row r="5" spans="1:8" x14ac:dyDescent="0.25">
      <c r="A5" s="86" t="s">
        <v>355</v>
      </c>
      <c r="B5" s="91" t="str">
        <f>'Fig 7.1'!B5</f>
        <v>Latam</v>
      </c>
      <c r="C5" s="91" t="str">
        <f>'Fig 7.1'!C5</f>
        <v>Gol</v>
      </c>
      <c r="D5" s="91" t="str">
        <f>'Fig 7.1'!D5</f>
        <v>Azul</v>
      </c>
      <c r="E5" s="91" t="str">
        <f>'Fig 7.1'!E5</f>
        <v>Avianca</v>
      </c>
      <c r="F5" s="91" t="str">
        <f>'Fig 7.1'!F5</f>
        <v>Absa</v>
      </c>
      <c r="G5" s="91" t="str">
        <f>'Fig 7.1'!G5</f>
        <v>Outras</v>
      </c>
      <c r="H5" s="91" t="str">
        <f>'Fig 7.1'!H5</f>
        <v>Indústria</v>
      </c>
    </row>
    <row r="6" spans="1:8" x14ac:dyDescent="0.25">
      <c r="A6" s="134" t="s">
        <v>44</v>
      </c>
      <c r="B6" s="89">
        <f>'Fig 7.1'!B6</f>
        <v>8604371.6015399992</v>
      </c>
      <c r="C6" s="90">
        <f>'Fig 7.1'!C6</f>
        <v>5832428.7112199999</v>
      </c>
      <c r="D6" s="90">
        <f>'Fig 7.1'!D6</f>
        <v>376590.19054000004</v>
      </c>
      <c r="E6" s="90">
        <f>'Fig 7.1'!E6</f>
        <v>419159.03538999998</v>
      </c>
      <c r="F6" s="90">
        <f>'Fig 7.1'!F6</f>
        <v>199589.56721000001</v>
      </c>
      <c r="G6" s="90">
        <f>'Fig 7.1'!G6</f>
        <v>1091651.9607200008</v>
      </c>
      <c r="H6" s="90">
        <f>'Fig 7.1'!H6</f>
        <v>16523791.066620002</v>
      </c>
    </row>
    <row r="7" spans="1:8" x14ac:dyDescent="0.25">
      <c r="A7" s="176" t="s">
        <v>45</v>
      </c>
      <c r="B7" s="87">
        <f>'Fig 7.1'!B7</f>
        <v>10288871.649550002</v>
      </c>
      <c r="C7" s="88">
        <f>'Fig 7.1'!C7</f>
        <v>6915529.7589999996</v>
      </c>
      <c r="D7" s="88">
        <f>'Fig 7.1'!D7</f>
        <v>868998.26078000001</v>
      </c>
      <c r="E7" s="88">
        <f>'Fig 7.1'!E7</f>
        <v>576442.43971000006</v>
      </c>
      <c r="F7" s="88">
        <f>'Fig 7.1'!F7</f>
        <v>519364.15134999994</v>
      </c>
      <c r="G7" s="88">
        <f>'Fig 7.1'!G7</f>
        <v>1785804.6070999987</v>
      </c>
      <c r="H7" s="88">
        <f>'Fig 7.1'!H7</f>
        <v>20955010.867489997</v>
      </c>
    </row>
    <row r="8" spans="1:8" x14ac:dyDescent="0.25">
      <c r="A8" s="134" t="s">
        <v>3</v>
      </c>
      <c r="B8" s="89">
        <f>'Fig 7.1'!B8</f>
        <v>11516534.335560001</v>
      </c>
      <c r="C8" s="90">
        <f>'Fig 7.1'!C8</f>
        <v>7182091.3030000003</v>
      </c>
      <c r="D8" s="90">
        <f>'Fig 7.1'!D8</f>
        <v>1717028.8285899996</v>
      </c>
      <c r="E8" s="90">
        <f>'Fig 7.1'!E8</f>
        <v>833627.76584999997</v>
      </c>
      <c r="F8" s="90">
        <f>'Fig 7.1'!F8</f>
        <v>616023.70143999998</v>
      </c>
      <c r="G8" s="90">
        <f>'Fig 7.1'!G8</f>
        <v>2486881.5282400027</v>
      </c>
      <c r="H8" s="90">
        <f>'Fig 7.1'!H8</f>
        <v>24352187.462680001</v>
      </c>
    </row>
    <row r="9" spans="1:8" x14ac:dyDescent="0.25">
      <c r="A9" s="176" t="s">
        <v>4</v>
      </c>
      <c r="B9" s="87">
        <f>'Fig 7.1'!B9</f>
        <v>12174518.179680001</v>
      </c>
      <c r="C9" s="88">
        <f>'Fig 7.1'!C9</f>
        <v>7103930.898</v>
      </c>
      <c r="D9" s="88">
        <f>'Fig 7.1'!D9</f>
        <v>2550174.8905499997</v>
      </c>
      <c r="E9" s="88">
        <f>'Fig 7.1'!E9</f>
        <v>1319911.38916</v>
      </c>
      <c r="F9" s="88">
        <f>'Fig 7.1'!F9</f>
        <v>817345.21074000001</v>
      </c>
      <c r="G9" s="88">
        <f>'Fig 7.1'!G9</f>
        <v>2572617.6502000019</v>
      </c>
      <c r="H9" s="88">
        <f>'Fig 7.1'!H9</f>
        <v>26538498.21833</v>
      </c>
    </row>
    <row r="10" spans="1:8" x14ac:dyDescent="0.25">
      <c r="A10" s="134" t="s">
        <v>395</v>
      </c>
      <c r="B10" s="89">
        <f>'Fig 7.1'!B10</f>
        <v>13265776.266829997</v>
      </c>
      <c r="C10" s="90">
        <f>'Fig 7.1'!C10</f>
        <v>8721617.8651900012</v>
      </c>
      <c r="D10" s="90">
        <f>'Fig 7.1'!D10</f>
        <v>3781508.0985100004</v>
      </c>
      <c r="E10" s="90">
        <f>'Fig 7.1'!E10</f>
        <v>1796718.50012</v>
      </c>
      <c r="F10" s="90">
        <f>'Fig 7.1'!F10</f>
        <v>1003518.1773599999</v>
      </c>
      <c r="G10" s="90">
        <f>'Fig 7.1'!G10</f>
        <v>2427263.7793100029</v>
      </c>
      <c r="H10" s="90">
        <f>'Fig 7.1'!H10</f>
        <v>30996402.687319998</v>
      </c>
    </row>
    <row r="11" spans="1:8" x14ac:dyDescent="0.25">
      <c r="A11" s="176" t="s">
        <v>413</v>
      </c>
      <c r="B11" s="87">
        <f>'Fig 7.1'!B11</f>
        <v>13871365.139470002</v>
      </c>
      <c r="C11" s="88">
        <f>'Fig 7.1'!C11</f>
        <v>9661990.2174500003</v>
      </c>
      <c r="D11" s="88">
        <f>'Fig 7.1'!D11</f>
        <v>5366283.44307</v>
      </c>
      <c r="E11" s="88">
        <f>'Fig 7.1'!E11</f>
        <v>2219797.1488800002</v>
      </c>
      <c r="F11" s="88">
        <f>'Fig 7.1'!F11</f>
        <v>1002999.7357999999</v>
      </c>
      <c r="G11" s="88">
        <f>'Fig 7.1'!G11</f>
        <v>535993.44378000125</v>
      </c>
      <c r="H11" s="88">
        <f>'Fig 7.1'!H11</f>
        <v>32658429.12845001</v>
      </c>
    </row>
    <row r="12" spans="1:8" x14ac:dyDescent="0.25">
      <c r="A12" s="134" t="s">
        <v>489</v>
      </c>
      <c r="B12" s="89">
        <f>'Fig 7.1'!B12</f>
        <v>14503764.94105</v>
      </c>
      <c r="C12" s="90">
        <f>'Fig 7.1'!C12</f>
        <v>9725923.8166599981</v>
      </c>
      <c r="D12" s="90">
        <f>'Fig 7.1'!D12</f>
        <v>6646715.9492999995</v>
      </c>
      <c r="E12" s="90">
        <f>'Fig 7.1'!E12</f>
        <v>2778804.301</v>
      </c>
      <c r="F12" s="90">
        <f>'Fig 7.1'!F12</f>
        <v>1079192.8488099999</v>
      </c>
      <c r="G12" s="90">
        <f>'Fig 7.1'!G12</f>
        <v>498213.36541000009</v>
      </c>
      <c r="H12" s="90">
        <f>'Fig 7.1'!H12</f>
        <v>35232615.222230002</v>
      </c>
    </row>
    <row r="13" spans="1:8" x14ac:dyDescent="0.25">
      <c r="A13" s="176" t="s">
        <v>524</v>
      </c>
      <c r="B13" s="87">
        <f>'Fig 7.1'!B13</f>
        <v>14304643.315880001</v>
      </c>
      <c r="C13" s="88">
        <f>'Fig 7.1'!C13</f>
        <v>9605521.8062199969</v>
      </c>
      <c r="D13" s="88">
        <f>'Fig 7.1'!D13</f>
        <v>7020909.1792399995</v>
      </c>
      <c r="E13" s="88">
        <f>'Fig 7.1'!E13</f>
        <v>3133434.6210000003</v>
      </c>
      <c r="F13" s="88">
        <f>'Fig 7.1'!F13</f>
        <v>897054.10079000005</v>
      </c>
      <c r="G13" s="88">
        <f>'Fig 7.1'!G13</f>
        <v>503679.00791999698</v>
      </c>
      <c r="H13" s="88">
        <f>'Fig 7.1'!H13</f>
        <v>35465242.031049997</v>
      </c>
    </row>
    <row r="14" spans="1:8" x14ac:dyDescent="0.25">
      <c r="A14" s="134" t="s">
        <v>718</v>
      </c>
      <c r="B14" s="89">
        <f>'Fig 7.1'!B14</f>
        <v>14959396.71188</v>
      </c>
      <c r="C14" s="90">
        <f>'Fig 7.1'!C14</f>
        <v>10059788.01409</v>
      </c>
      <c r="D14" s="90">
        <f>'Fig 7.1'!D14</f>
        <v>8101143.3493800005</v>
      </c>
      <c r="E14" s="90">
        <f>'Fig 7.1'!E14</f>
        <v>3728755.3330000001</v>
      </c>
      <c r="F14" s="90">
        <f>'Fig 7.1'!F14</f>
        <v>929759.84824999992</v>
      </c>
      <c r="G14" s="90">
        <f>'Fig 7.1'!G14</f>
        <v>0</v>
      </c>
      <c r="H14" s="90">
        <f>'Fig 7.1'!H14</f>
        <v>37778843.2566</v>
      </c>
    </row>
    <row r="15" spans="1:8" x14ac:dyDescent="0.25">
      <c r="A15" s="176" t="s">
        <v>877</v>
      </c>
      <c r="B15" s="87">
        <f>'Fig 7.1'!B15</f>
        <v>16444064.329569999</v>
      </c>
      <c r="C15" s="88">
        <f>'Fig 7.1'!C15</f>
        <v>11168376.198249999</v>
      </c>
      <c r="D15" s="88">
        <f>'Fig 7.1'!D15</f>
        <v>9525013.7333400007</v>
      </c>
      <c r="E15" s="88">
        <f>'Fig 7.1'!E15</f>
        <v>4795553.5149999997</v>
      </c>
      <c r="F15" s="88">
        <f>'Fig 7.1'!F15</f>
        <v>1227084.68927</v>
      </c>
      <c r="G15" s="88">
        <f>'Fig 7.1'!G15</f>
        <v>0</v>
      </c>
      <c r="H15" s="88">
        <f>'Fig 7.1'!H15</f>
        <v>43160092.465429999</v>
      </c>
    </row>
    <row r="16" spans="1:8" x14ac:dyDescent="0.25">
      <c r="A16" s="86"/>
      <c r="B16" s="91"/>
      <c r="C16" s="91"/>
      <c r="D16" s="91"/>
      <c r="E16" s="91"/>
      <c r="F16" s="91"/>
      <c r="G16" s="91"/>
      <c r="H16" s="91"/>
    </row>
    <row r="17" spans="2:7" x14ac:dyDescent="0.25">
      <c r="B17" s="114"/>
      <c r="C17" s="114"/>
      <c r="D17" s="114"/>
      <c r="E17" s="114"/>
      <c r="F17" s="114"/>
      <c r="G17" s="114"/>
    </row>
  </sheetData>
  <mergeCells count="2">
    <mergeCell ref="A3:H3"/>
    <mergeCell ref="A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Plan163"/>
  <dimension ref="A1:G17"/>
  <sheetViews>
    <sheetView showGridLines="0" workbookViewId="0">
      <selection activeCell="F5" sqref="F5"/>
    </sheetView>
  </sheetViews>
  <sheetFormatPr defaultRowHeight="15" x14ac:dyDescent="0.25"/>
  <cols>
    <col min="1" max="1" width="14.42578125" style="327" bestFit="1" customWidth="1"/>
    <col min="2" max="4" width="11.140625" style="327" customWidth="1"/>
    <col min="5" max="5" width="13.28515625" style="327" bestFit="1" customWidth="1"/>
    <col min="6" max="6" width="11.140625" style="327" customWidth="1"/>
    <col min="7" max="7" width="10.140625" style="327" bestFit="1" customWidth="1"/>
    <col min="8" max="16384" width="9.140625" style="327"/>
  </cols>
  <sheetData>
    <row r="1" spans="1:7" x14ac:dyDescent="0.25">
      <c r="C1" s="78"/>
      <c r="D1" s="78"/>
      <c r="E1" s="78"/>
      <c r="F1" s="78" t="s">
        <v>370</v>
      </c>
      <c r="G1" s="78" t="s">
        <v>882</v>
      </c>
    </row>
    <row r="3" spans="1:7" x14ac:dyDescent="0.25">
      <c r="A3" s="350" t="str">
        <f>"Tabela Referente à "&amp;F1</f>
        <v>Tabela Referente à Figura 8.5</v>
      </c>
      <c r="B3" s="350"/>
      <c r="C3" s="350"/>
      <c r="D3" s="350"/>
      <c r="E3" s="350"/>
      <c r="F3" s="350"/>
      <c r="G3" s="350"/>
    </row>
    <row r="4" spans="1:7" x14ac:dyDescent="0.25">
      <c r="A4" s="358" t="str">
        <f>G1</f>
        <v>Receita de Passagem Aérea (R$ 1.000,00) por empresa, 2014 a 2017</v>
      </c>
      <c r="B4" s="358"/>
      <c r="C4" s="358"/>
      <c r="D4" s="358"/>
      <c r="E4" s="358"/>
      <c r="F4" s="358"/>
      <c r="G4" s="358"/>
    </row>
    <row r="5" spans="1:7" x14ac:dyDescent="0.25">
      <c r="A5" s="86" t="s">
        <v>355</v>
      </c>
      <c r="B5" s="91" t="str">
        <f>'Fig 7.1'!B5</f>
        <v>Latam</v>
      </c>
      <c r="C5" s="91" t="str">
        <f>'Fig 7.1'!C5</f>
        <v>Gol</v>
      </c>
      <c r="D5" s="91" t="str">
        <f>'Fig 7.1'!D5</f>
        <v>Azul</v>
      </c>
      <c r="E5" s="91" t="str">
        <f>'Fig 7.1'!E5</f>
        <v>Avianca</v>
      </c>
      <c r="F5" s="91" t="str">
        <f>'Fig 7.1'!G5</f>
        <v>Outras</v>
      </c>
      <c r="G5" s="91" t="str">
        <f>'Fig 7.1'!H5</f>
        <v>Indústria</v>
      </c>
    </row>
    <row r="6" spans="1:7" x14ac:dyDescent="0.25">
      <c r="A6" s="134" t="s">
        <v>44</v>
      </c>
      <c r="B6" s="89">
        <v>7571424.3953799997</v>
      </c>
      <c r="C6" s="90">
        <v>5209887.6370000001</v>
      </c>
      <c r="D6" s="90">
        <v>350613.24479999999</v>
      </c>
      <c r="E6" s="90">
        <v>372561.12255000009</v>
      </c>
      <c r="F6" s="90">
        <f>G6-SUM(B6:E6)</f>
        <v>897727.59491000138</v>
      </c>
      <c r="G6" s="90">
        <v>14402213.99464</v>
      </c>
    </row>
    <row r="7" spans="1:7" x14ac:dyDescent="0.25">
      <c r="A7" s="176" t="s">
        <v>45</v>
      </c>
      <c r="B7" s="87">
        <v>9038355.3053399976</v>
      </c>
      <c r="C7" s="88">
        <v>6076234.5990000004</v>
      </c>
      <c r="D7" s="88">
        <v>786233.96505999996</v>
      </c>
      <c r="E7" s="88">
        <v>513190.42210000003</v>
      </c>
      <c r="F7" s="88">
        <f t="shared" ref="F7:F15" si="0">G7-SUM(B7:E7)</f>
        <v>1457414.1893100031</v>
      </c>
      <c r="G7" s="88">
        <v>17871428.480810001</v>
      </c>
    </row>
    <row r="8" spans="1:7" x14ac:dyDescent="0.25">
      <c r="A8" s="134" t="s">
        <v>3</v>
      </c>
      <c r="B8" s="89">
        <v>10248163.031869998</v>
      </c>
      <c r="C8" s="90">
        <v>6326344.7139999997</v>
      </c>
      <c r="D8" s="90">
        <v>1557367.80055</v>
      </c>
      <c r="E8" s="90">
        <v>770856.38525000005</v>
      </c>
      <c r="F8" s="90">
        <f t="shared" si="0"/>
        <v>1957144.6045899987</v>
      </c>
      <c r="G8" s="90">
        <v>20859876.536259994</v>
      </c>
    </row>
    <row r="9" spans="1:7" x14ac:dyDescent="0.25">
      <c r="A9" s="176" t="s">
        <v>4</v>
      </c>
      <c r="B9" s="87">
        <v>11222798.309719998</v>
      </c>
      <c r="C9" s="88">
        <v>6193503.8470000001</v>
      </c>
      <c r="D9" s="88">
        <v>2298700.3771100002</v>
      </c>
      <c r="E9" s="88">
        <v>1235726.6022900001</v>
      </c>
      <c r="F9" s="88">
        <f t="shared" si="0"/>
        <v>1945360.8643399999</v>
      </c>
      <c r="G9" s="88">
        <v>22896090.000459999</v>
      </c>
    </row>
    <row r="10" spans="1:7" x14ac:dyDescent="0.25">
      <c r="A10" s="134" t="s">
        <v>395</v>
      </c>
      <c r="B10" s="89">
        <v>12167783.299779996</v>
      </c>
      <c r="C10" s="90">
        <v>7823750.4038000004</v>
      </c>
      <c r="D10" s="90">
        <v>3375932.0126200002</v>
      </c>
      <c r="E10" s="90">
        <v>1700429.3560299999</v>
      </c>
      <c r="F10" s="90">
        <f t="shared" si="0"/>
        <v>1430672.6865000017</v>
      </c>
      <c r="G10" s="90">
        <v>26498567.758729994</v>
      </c>
    </row>
    <row r="11" spans="1:7" x14ac:dyDescent="0.25">
      <c r="A11" s="176" t="s">
        <v>413</v>
      </c>
      <c r="B11" s="87">
        <v>12582903.140009997</v>
      </c>
      <c r="C11" s="88">
        <v>8629888.9814600013</v>
      </c>
      <c r="D11" s="88">
        <v>4707421.4791599996</v>
      </c>
      <c r="E11" s="88">
        <v>2113428.5138300005</v>
      </c>
      <c r="F11" s="88">
        <f t="shared" si="0"/>
        <v>407627.59167999774</v>
      </c>
      <c r="G11" s="88">
        <v>28441269.706139997</v>
      </c>
    </row>
    <row r="12" spans="1:7" x14ac:dyDescent="0.25">
      <c r="A12" s="134" t="s">
        <v>489</v>
      </c>
      <c r="B12" s="89">
        <v>12519712.540239999</v>
      </c>
      <c r="C12" s="90">
        <v>8295445.0552499993</v>
      </c>
      <c r="D12" s="90">
        <v>5797536.7221899992</v>
      </c>
      <c r="E12" s="90">
        <v>2358671.95652</v>
      </c>
      <c r="F12" s="90">
        <f t="shared" si="0"/>
        <v>49037.610929999501</v>
      </c>
      <c r="G12" s="90">
        <v>29020403.885129996</v>
      </c>
    </row>
    <row r="13" spans="1:7" x14ac:dyDescent="0.25">
      <c r="A13" s="176" t="s">
        <v>524</v>
      </c>
      <c r="B13" s="87">
        <v>12423771.43048</v>
      </c>
      <c r="C13" s="88">
        <v>8513112.3443699982</v>
      </c>
      <c r="D13" s="88">
        <v>6100342.6498499997</v>
      </c>
      <c r="E13" s="88">
        <v>2665473.0214400003</v>
      </c>
      <c r="F13" s="88">
        <f t="shared" si="0"/>
        <v>49667.947650004178</v>
      </c>
      <c r="G13" s="88">
        <v>29752367.393789999</v>
      </c>
    </row>
    <row r="14" spans="1:7" x14ac:dyDescent="0.25">
      <c r="A14" s="134" t="s">
        <v>718</v>
      </c>
      <c r="B14" s="89">
        <v>12779167.659260001</v>
      </c>
      <c r="C14" s="90">
        <v>8899674.6200599987</v>
      </c>
      <c r="D14" s="90">
        <v>7050746.0683399998</v>
      </c>
      <c r="E14" s="90">
        <v>3118970.571</v>
      </c>
      <c r="F14" s="90">
        <f t="shared" si="0"/>
        <v>0</v>
      </c>
      <c r="G14" s="90">
        <v>31848558.91866</v>
      </c>
    </row>
    <row r="15" spans="1:7" x14ac:dyDescent="0.25">
      <c r="A15" s="176" t="s">
        <v>877</v>
      </c>
      <c r="B15" s="87">
        <v>14119800.4527</v>
      </c>
      <c r="C15" s="88">
        <v>9806472.901039999</v>
      </c>
      <c r="D15" s="88">
        <v>8309942.6375499992</v>
      </c>
      <c r="E15" s="88">
        <v>3798613.2059999998</v>
      </c>
      <c r="F15" s="88">
        <f t="shared" si="0"/>
        <v>0</v>
      </c>
      <c r="G15" s="88">
        <v>36034829.197290003</v>
      </c>
    </row>
    <row r="16" spans="1:7" x14ac:dyDescent="0.25">
      <c r="A16" s="86"/>
      <c r="B16" s="91"/>
      <c r="C16" s="91"/>
      <c r="D16" s="91"/>
      <c r="E16" s="91"/>
      <c r="F16" s="91"/>
      <c r="G16" s="91"/>
    </row>
    <row r="17" spans="2:6" x14ac:dyDescent="0.25">
      <c r="B17" s="114"/>
      <c r="C17" s="114"/>
      <c r="D17" s="114"/>
      <c r="E17" s="114"/>
      <c r="F17" s="114"/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Plan149"/>
  <dimension ref="A1:H15"/>
  <sheetViews>
    <sheetView showGridLines="0" workbookViewId="0">
      <selection activeCell="K17" sqref="K17"/>
    </sheetView>
  </sheetViews>
  <sheetFormatPr defaultRowHeight="15" x14ac:dyDescent="0.25"/>
  <cols>
    <col min="1" max="1" width="14.42578125" bestFit="1" customWidth="1"/>
    <col min="2" max="4" width="11.140625" customWidth="1"/>
    <col min="5" max="5" width="13.28515625" bestFit="1" customWidth="1"/>
    <col min="6" max="7" width="11.140625" customWidth="1"/>
  </cols>
  <sheetData>
    <row r="1" spans="1:8" x14ac:dyDescent="0.25">
      <c r="C1" s="78"/>
      <c r="D1" s="78"/>
      <c r="E1" s="78"/>
      <c r="F1" s="78"/>
      <c r="G1" s="78" t="s">
        <v>739</v>
      </c>
      <c r="H1" s="78" t="s">
        <v>1378</v>
      </c>
    </row>
    <row r="3" spans="1:8" x14ac:dyDescent="0.25">
      <c r="A3" s="350" t="str">
        <f>"Tabela Referente à "&amp;G1</f>
        <v>Tabela Referente à Figura 7.6</v>
      </c>
      <c r="B3" s="350"/>
      <c r="C3" s="350"/>
      <c r="D3" s="350"/>
      <c r="E3" s="350"/>
      <c r="F3" s="350"/>
      <c r="G3" s="350"/>
      <c r="H3" s="350"/>
    </row>
    <row r="4" spans="1:8" x14ac:dyDescent="0.25">
      <c r="A4" s="358" t="str">
        <f>H1</f>
        <v>Variação da Receita de Serviços Aéreos Públicos (%) por empresa, 2015 a 2018</v>
      </c>
      <c r="B4" s="358"/>
      <c r="C4" s="358"/>
      <c r="D4" s="358"/>
      <c r="E4" s="358"/>
      <c r="F4" s="358"/>
      <c r="G4" s="358"/>
      <c r="H4" s="358"/>
    </row>
    <row r="5" spans="1:8" x14ac:dyDescent="0.25">
      <c r="A5" s="86" t="s">
        <v>355</v>
      </c>
      <c r="B5" s="91" t="str">
        <f>'Fig 7.5'!B5</f>
        <v>Latam</v>
      </c>
      <c r="C5" s="91" t="str">
        <f>'Fig 7.5'!C5</f>
        <v>Gol</v>
      </c>
      <c r="D5" s="91" t="str">
        <f>'Fig 7.5'!D5</f>
        <v>Azul</v>
      </c>
      <c r="E5" s="91" t="str">
        <f>'Fig 7.5'!E5</f>
        <v>Avianca</v>
      </c>
      <c r="F5" s="91" t="str">
        <f>'Fig 7.5'!F5</f>
        <v>Absa</v>
      </c>
      <c r="G5" s="91" t="str">
        <f>'Fig 7.5'!G5</f>
        <v>Outras</v>
      </c>
      <c r="H5" s="91" t="str">
        <f>'Fig 7.5'!H5</f>
        <v>Indústria</v>
      </c>
    </row>
    <row r="6" spans="1:8" x14ac:dyDescent="0.25">
      <c r="A6" s="176" t="s">
        <v>45</v>
      </c>
      <c r="B6" s="101">
        <f>IFERROR('Fig 7.5'!B7/'Fig 7.5'!B6-1,"")</f>
        <v>0.19577258235900841</v>
      </c>
      <c r="C6" s="101">
        <f>IFERROR('Fig 7.5'!C7/'Fig 7.5'!C6-1,"")</f>
        <v>0.1857032638386833</v>
      </c>
      <c r="D6" s="101">
        <f>IFERROR('Fig 7.5'!D7/'Fig 7.5'!D6-1,"")</f>
        <v>1.3075435383325478</v>
      </c>
      <c r="E6" s="101">
        <f>IFERROR('Fig 7.5'!E7/'Fig 7.5'!E6-1,"")</f>
        <v>0.37523562905821217</v>
      </c>
      <c r="F6" s="101">
        <f>IFERROR('Fig 7.5'!F7/'Fig 7.5'!F6-1,"")</f>
        <v>1.6021608173715118</v>
      </c>
      <c r="G6" s="101">
        <f>IFERROR('Fig 7.5'!G7/'Fig 7.5'!G6-1,"")</f>
        <v>0.635873585498961</v>
      </c>
      <c r="H6" s="101">
        <f>IFERROR('Fig 7.5'!H7/'Fig 7.5'!H6-1,"")</f>
        <v>0.26817210306063366</v>
      </c>
    </row>
    <row r="7" spans="1:8" x14ac:dyDescent="0.25">
      <c r="A7" s="134" t="s">
        <v>3</v>
      </c>
      <c r="B7" s="100">
        <f>IFERROR('Fig 7.5'!B8/'Fig 7.5'!B7-1,"")</f>
        <v>0.11931946746208011</v>
      </c>
      <c r="C7" s="100">
        <f>IFERROR('Fig 7.5'!C8/'Fig 7.5'!C7-1,"")</f>
        <v>3.8545354194028603E-2</v>
      </c>
      <c r="D7" s="100">
        <f>IFERROR('Fig 7.5'!D8/'Fig 7.5'!D7-1,"")</f>
        <v>0.97587142124866832</v>
      </c>
      <c r="E7" s="100">
        <f>IFERROR('Fig 7.5'!E8/'Fig 7.5'!E7-1,"")</f>
        <v>0.44615959621117796</v>
      </c>
      <c r="F7" s="100">
        <f>IFERROR('Fig 7.5'!F8/'Fig 7.5'!F7-1,"")</f>
        <v>0.18611132447002698</v>
      </c>
      <c r="G7" s="100">
        <f>IFERROR('Fig 7.5'!G8/'Fig 7.5'!G7-1,"")</f>
        <v>0.39258321898860804</v>
      </c>
      <c r="H7" s="100">
        <f>IFERROR('Fig 7.5'!H8/'Fig 7.5'!H7-1,"")</f>
        <v>0.1621176250717411</v>
      </c>
    </row>
    <row r="8" spans="1:8" x14ac:dyDescent="0.25">
      <c r="A8" s="176" t="s">
        <v>4</v>
      </c>
      <c r="B8" s="101">
        <f>IFERROR('Fig 7.5'!B9/'Fig 7.5'!B8-1,"")</f>
        <v>5.7133841218909076E-2</v>
      </c>
      <c r="C8" s="101">
        <f>IFERROR('Fig 7.5'!C9/'Fig 7.5'!C8-1,"")</f>
        <v>-1.0882680503845998E-2</v>
      </c>
      <c r="D8" s="101">
        <f>IFERROR('Fig 7.5'!D9/'Fig 7.5'!D8-1,"")</f>
        <v>0.48522543599001078</v>
      </c>
      <c r="E8" s="101">
        <f>IFERROR('Fig 7.5'!E9/'Fig 7.5'!E8-1,"")</f>
        <v>0.58333424488826369</v>
      </c>
      <c r="F8" s="101">
        <f>IFERROR('Fig 7.5'!F9/'Fig 7.5'!F8-1,"")</f>
        <v>0.3268080575948562</v>
      </c>
      <c r="G8" s="101">
        <f>IFERROR('Fig 7.5'!G9/'Fig 7.5'!G8-1,"")</f>
        <v>3.4475354369082334E-2</v>
      </c>
      <c r="H8" s="101">
        <f>IFERROR('Fig 7.5'!H9/'Fig 7.5'!H8-1,"")</f>
        <v>8.9778824140564151E-2</v>
      </c>
    </row>
    <row r="9" spans="1:8" x14ac:dyDescent="0.25">
      <c r="A9" s="134" t="s">
        <v>395</v>
      </c>
      <c r="B9" s="100">
        <f>IFERROR('Fig 7.5'!B10/'Fig 7.5'!B9-1,"")</f>
        <v>8.9634601636340072E-2</v>
      </c>
      <c r="C9" s="100">
        <f>IFERROR('Fig 7.5'!C10/'Fig 7.5'!C9-1,"")</f>
        <v>0.22771715975523299</v>
      </c>
      <c r="D9" s="100">
        <f>IFERROR('Fig 7.5'!D10/'Fig 7.5'!D9-1,"")</f>
        <v>0.48284265229136403</v>
      </c>
      <c r="E9" s="100">
        <f>IFERROR('Fig 7.5'!E10/'Fig 7.5'!E9-1,"")</f>
        <v>0.36124175825427418</v>
      </c>
      <c r="F9" s="100">
        <f>IFERROR('Fig 7.5'!F10/'Fig 7.5'!F9-1,"")</f>
        <v>0.22777764422384572</v>
      </c>
      <c r="G9" s="100">
        <f>IFERROR('Fig 7.5'!G10/'Fig 7.5'!G9-1,"")</f>
        <v>-5.6500378468094081E-2</v>
      </c>
      <c r="H9" s="100">
        <f>IFERROR('Fig 7.5'!H10/'Fig 7.5'!H9-1,"")</f>
        <v>0.16797877680625306</v>
      </c>
    </row>
    <row r="10" spans="1:8" x14ac:dyDescent="0.25">
      <c r="A10" s="176" t="s">
        <v>413</v>
      </c>
      <c r="B10" s="101">
        <f>IFERROR('Fig 7.5'!B11/'Fig 7.5'!B10-1,"")</f>
        <v>4.5650466317167515E-2</v>
      </c>
      <c r="C10" s="101">
        <f>IFERROR('Fig 7.5'!C11/'Fig 7.5'!C10-1,"")</f>
        <v>0.10782086154143977</v>
      </c>
      <c r="D10" s="101">
        <f>IFERROR('Fig 7.5'!D11/'Fig 7.5'!D10-1,"")</f>
        <v>0.41908553499711854</v>
      </c>
      <c r="E10" s="101">
        <f>IFERROR('Fig 7.5'!E11/'Fig 7.5'!E10-1,"")</f>
        <v>0.23547297405338874</v>
      </c>
      <c r="F10" s="101">
        <f>IFERROR('Fig 7.5'!F11/'Fig 7.5'!F10-1,"")</f>
        <v>-5.1662398519158881E-4</v>
      </c>
      <c r="G10" s="101">
        <f>IFERROR('Fig 7.5'!G11/'Fig 7.5'!G10-1,"")</f>
        <v>-0.77917791698256722</v>
      </c>
      <c r="H10" s="101">
        <f>IFERROR('Fig 7.5'!H11/'Fig 7.5'!H10-1,"")</f>
        <v>5.361997835348542E-2</v>
      </c>
    </row>
    <row r="11" spans="1:8" x14ac:dyDescent="0.25">
      <c r="A11" s="134" t="s">
        <v>489</v>
      </c>
      <c r="B11" s="100">
        <f>IFERROR('Fig 7.5'!B12/'Fig 7.5'!B11-1,"")</f>
        <v>4.5590307458676094E-2</v>
      </c>
      <c r="C11" s="100">
        <f>IFERROR('Fig 7.5'!C12/'Fig 7.5'!C11-1,"")</f>
        <v>6.6170217285597133E-3</v>
      </c>
      <c r="D11" s="100">
        <f>IFERROR('Fig 7.5'!D12/'Fig 7.5'!D11-1,"")</f>
        <v>0.23860694646749336</v>
      </c>
      <c r="E11" s="100">
        <f>IFERROR('Fig 7.5'!E12/'Fig 7.5'!E11-1,"")</f>
        <v>0.25182803410755206</v>
      </c>
      <c r="F11" s="100">
        <f>IFERROR('Fig 7.5'!F12/'Fig 7.5'!F11-1,"")</f>
        <v>7.5965237367912053E-2</v>
      </c>
      <c r="G11" s="100">
        <f>IFERROR('Fig 7.5'!G12/'Fig 7.5'!G11-1,"")</f>
        <v>-7.0486083007963107E-2</v>
      </c>
      <c r="H11" s="100">
        <f>IFERROR('Fig 7.5'!H12/'Fig 7.5'!H11-1,"")</f>
        <v>7.8821491494749152E-2</v>
      </c>
    </row>
    <row r="12" spans="1:8" x14ac:dyDescent="0.25">
      <c r="A12" s="176" t="s">
        <v>524</v>
      </c>
      <c r="B12" s="101">
        <f>IFERROR('Fig 7.5'!B13/'Fig 7.5'!B12-1,"")</f>
        <v>-1.3728961133838147E-2</v>
      </c>
      <c r="C12" s="101">
        <f>IFERROR('Fig 7.5'!C13/'Fig 7.5'!C12-1,"")</f>
        <v>-1.2379493476368686E-2</v>
      </c>
      <c r="D12" s="101">
        <f>IFERROR('Fig 7.5'!D13/'Fig 7.5'!D12-1,"")</f>
        <v>5.6297460700033053E-2</v>
      </c>
      <c r="E12" s="101">
        <f>IFERROR('Fig 7.5'!E13/'Fig 7.5'!E12-1,"")</f>
        <v>0.12761975352937971</v>
      </c>
      <c r="F12" s="101">
        <f>IFERROR('Fig 7.5'!F13/'Fig 7.5'!F12-1,"")</f>
        <v>-0.16877312356252161</v>
      </c>
      <c r="G12" s="101">
        <f>IFERROR('Fig 7.5'!G13/'Fig 7.5'!G12-1,"")</f>
        <v>1.0970485517784123E-2</v>
      </c>
      <c r="H12" s="101">
        <f>IFERROR('Fig 7.5'!H13/'Fig 7.5'!H12-1,"")</f>
        <v>6.6025983978963421E-3</v>
      </c>
    </row>
    <row r="13" spans="1:8" x14ac:dyDescent="0.25">
      <c r="A13" s="134" t="s">
        <v>718</v>
      </c>
      <c r="B13" s="100">
        <f>IFERROR('Fig 7.5'!B14/'Fig 7.5'!B13-1,"")</f>
        <v>4.5772088233275943E-2</v>
      </c>
      <c r="C13" s="100">
        <f>IFERROR('Fig 7.5'!C14/'Fig 7.5'!C13-1,"")</f>
        <v>4.7292194743220106E-2</v>
      </c>
      <c r="D13" s="100">
        <f>IFERROR('Fig 7.5'!D14/'Fig 7.5'!D13-1,"")</f>
        <v>0.15385958464384153</v>
      </c>
      <c r="E13" s="100">
        <f>IFERROR('Fig 7.5'!E14/'Fig 7.5'!E13-1,"")</f>
        <v>0.18998983033193451</v>
      </c>
      <c r="F13" s="100">
        <f>IFERROR('Fig 7.5'!F14/'Fig 7.5'!F13-1,"")</f>
        <v>3.6459057966734987E-2</v>
      </c>
      <c r="G13" s="100">
        <f>IFERROR('Fig 7.5'!G14/'Fig 7.5'!G13-1,"")</f>
        <v>-1</v>
      </c>
      <c r="H13" s="100">
        <f>IFERROR('Fig 7.5'!H14/'Fig 7.5'!H13-1,"")</f>
        <v>6.5235737670264138E-2</v>
      </c>
    </row>
    <row r="14" spans="1:8" x14ac:dyDescent="0.25">
      <c r="A14" s="176" t="s">
        <v>877</v>
      </c>
      <c r="B14" s="101">
        <f>IFERROR('Fig 7.5'!B15/'Fig 7.5'!B14-1,"")</f>
        <v>9.9246490101499329E-2</v>
      </c>
      <c r="C14" s="101">
        <f>IFERROR('Fig 7.5'!C15/'Fig 7.5'!C14-1,"")</f>
        <v>0.11019995477114253</v>
      </c>
      <c r="D14" s="101">
        <f>IFERROR('Fig 7.5'!D15/'Fig 7.5'!D14-1,"")</f>
        <v>0.17576165765156748</v>
      </c>
      <c r="E14" s="101">
        <f>IFERROR('Fig 7.5'!E15/'Fig 7.5'!E14-1,"")</f>
        <v>0.28610034360760772</v>
      </c>
      <c r="F14" s="101">
        <f>IFERROR('Fig 7.5'!F15/'Fig 7.5'!F14-1,"")</f>
        <v>0.31978670791132435</v>
      </c>
      <c r="G14" s="101" t="str">
        <f>IFERROR('Fig 7.5'!G15/'Fig 7.5'!G14-1,"")</f>
        <v/>
      </c>
      <c r="H14" s="101">
        <f>IFERROR('Fig 7.5'!H15/'Fig 7.5'!H14-1,"")</f>
        <v>0.14244081461890423</v>
      </c>
    </row>
    <row r="15" spans="1:8" x14ac:dyDescent="0.25">
      <c r="A15" s="86"/>
      <c r="B15" s="91"/>
      <c r="C15" s="91"/>
      <c r="D15" s="91"/>
      <c r="E15" s="91"/>
      <c r="F15" s="91"/>
      <c r="G15" s="91"/>
      <c r="H15" s="91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Plan217"/>
  <dimension ref="A1:H17"/>
  <sheetViews>
    <sheetView showGridLines="0" workbookViewId="0">
      <selection activeCell="H18" sqref="H18"/>
    </sheetView>
  </sheetViews>
  <sheetFormatPr defaultRowHeight="15" x14ac:dyDescent="0.25"/>
  <cols>
    <col min="1" max="1" width="14.42578125" bestFit="1" customWidth="1"/>
    <col min="2" max="4" width="11.140625" customWidth="1"/>
    <col min="5" max="5" width="13.28515625" bestFit="1" customWidth="1"/>
    <col min="6" max="6" width="11.140625" customWidth="1"/>
    <col min="7" max="7" width="10.140625" bestFit="1" customWidth="1"/>
  </cols>
  <sheetData>
    <row r="1" spans="1:8" x14ac:dyDescent="0.25">
      <c r="C1" s="78"/>
      <c r="D1" s="78"/>
      <c r="E1" s="78"/>
      <c r="F1" s="78"/>
      <c r="G1" s="78" t="s">
        <v>740</v>
      </c>
      <c r="H1" s="78" t="s">
        <v>1379</v>
      </c>
    </row>
    <row r="3" spans="1:8" x14ac:dyDescent="0.25">
      <c r="A3" s="350" t="str">
        <f>G1</f>
        <v>Figura 7.7</v>
      </c>
      <c r="B3" s="350"/>
      <c r="C3" s="350"/>
      <c r="D3" s="350"/>
      <c r="E3" s="350"/>
      <c r="F3" s="350"/>
      <c r="G3" s="350"/>
      <c r="H3" s="350"/>
    </row>
    <row r="4" spans="1:8" x14ac:dyDescent="0.25">
      <c r="A4" s="358" t="str">
        <f>H1</f>
        <v>Receita com Carga e Mala Postal (R$ 1.000,00) da indústria, 2009 a 2018</v>
      </c>
      <c r="B4" s="358"/>
      <c r="C4" s="358"/>
      <c r="D4" s="358"/>
      <c r="E4" s="358"/>
      <c r="F4" s="358"/>
      <c r="G4" s="358"/>
      <c r="H4" s="358"/>
    </row>
    <row r="5" spans="1:8" x14ac:dyDescent="0.25">
      <c r="A5" s="86" t="s">
        <v>355</v>
      </c>
      <c r="B5" s="91" t="str">
        <f>'Fig 7.6'!B5</f>
        <v>Latam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6</v>
      </c>
      <c r="H5" s="91" t="s">
        <v>10</v>
      </c>
    </row>
    <row r="6" spans="1:8" x14ac:dyDescent="0.25">
      <c r="A6" s="134" t="s">
        <v>44</v>
      </c>
      <c r="B6" s="89">
        <v>850368.21707000001</v>
      </c>
      <c r="C6" s="90">
        <v>133647.68400000001</v>
      </c>
      <c r="D6" s="90">
        <v>1060.5928200000001</v>
      </c>
      <c r="E6" s="90">
        <v>10218.217839999999</v>
      </c>
      <c r="F6" s="90">
        <v>199589.56721000001</v>
      </c>
      <c r="G6" s="90">
        <v>40179.40857</v>
      </c>
      <c r="H6" s="90">
        <f>SUM(B6:G6)</f>
        <v>1235063.6875100001</v>
      </c>
    </row>
    <row r="7" spans="1:8" x14ac:dyDescent="0.25">
      <c r="A7" s="176" t="s">
        <v>45</v>
      </c>
      <c r="B7" s="87">
        <v>1080446.0821599995</v>
      </c>
      <c r="C7" s="88">
        <v>182188.10200000001</v>
      </c>
      <c r="D7" s="88">
        <v>16675.254810000002</v>
      </c>
      <c r="E7" s="88">
        <v>16044.35169</v>
      </c>
      <c r="F7" s="88">
        <v>519364.15135</v>
      </c>
      <c r="G7" s="88">
        <v>23975.966360000006</v>
      </c>
      <c r="H7" s="88">
        <f t="shared" ref="H7:H15" si="0">SUM(B7:G7)</f>
        <v>1838693.9083699994</v>
      </c>
    </row>
    <row r="8" spans="1:8" x14ac:dyDescent="0.25">
      <c r="A8" s="134" t="s">
        <v>3</v>
      </c>
      <c r="B8" s="89">
        <v>1084508.0258399998</v>
      </c>
      <c r="C8" s="90">
        <v>230471.60699999999</v>
      </c>
      <c r="D8" s="90">
        <v>39868.287229999994</v>
      </c>
      <c r="E8" s="90">
        <v>17902.37859</v>
      </c>
      <c r="F8" s="90">
        <v>616023.70143999998</v>
      </c>
      <c r="G8" s="90">
        <v>20220.742630000001</v>
      </c>
      <c r="H8" s="90">
        <f t="shared" si="0"/>
        <v>2008994.7427299998</v>
      </c>
    </row>
    <row r="9" spans="1:8" x14ac:dyDescent="0.25">
      <c r="A9" s="176" t="s">
        <v>4</v>
      </c>
      <c r="B9" s="87">
        <v>724935.22069999995</v>
      </c>
      <c r="C9" s="88">
        <v>173888.64800000002</v>
      </c>
      <c r="D9" s="88">
        <v>60738.531470000002</v>
      </c>
      <c r="E9" s="88">
        <v>32573.931500000002</v>
      </c>
      <c r="F9" s="88">
        <v>817345.21074000001</v>
      </c>
      <c r="G9" s="88">
        <v>26577.523299999997</v>
      </c>
      <c r="H9" s="88">
        <f t="shared" si="0"/>
        <v>1836059.06571</v>
      </c>
    </row>
    <row r="10" spans="1:8" x14ac:dyDescent="0.25">
      <c r="A10" s="134" t="s">
        <v>395</v>
      </c>
      <c r="B10" s="89">
        <v>917801.80583000008</v>
      </c>
      <c r="C10" s="90">
        <v>239407.06646999996</v>
      </c>
      <c r="D10" s="90">
        <v>105734.34431999999</v>
      </c>
      <c r="E10" s="90">
        <v>46843.180890000003</v>
      </c>
      <c r="F10" s="90">
        <v>1003518.1773600002</v>
      </c>
      <c r="G10" s="90">
        <v>9390.5134800000014</v>
      </c>
      <c r="H10" s="90">
        <f t="shared" si="0"/>
        <v>2322695.0883500003</v>
      </c>
    </row>
    <row r="11" spans="1:8" x14ac:dyDescent="0.25">
      <c r="A11" s="176" t="s">
        <v>413</v>
      </c>
      <c r="B11" s="87">
        <v>1107206.7875300001</v>
      </c>
      <c r="C11" s="88">
        <v>239877.67484999992</v>
      </c>
      <c r="D11" s="88">
        <v>130709.84076999998</v>
      </c>
      <c r="E11" s="88">
        <v>61899.395450000004</v>
      </c>
      <c r="F11" s="88">
        <v>1002999.7358</v>
      </c>
      <c r="G11" s="88">
        <v>0</v>
      </c>
      <c r="H11" s="88">
        <f t="shared" si="0"/>
        <v>2542693.4343999997</v>
      </c>
    </row>
    <row r="12" spans="1:8" x14ac:dyDescent="0.25">
      <c r="A12" s="134" t="s">
        <v>489</v>
      </c>
      <c r="B12" s="89">
        <v>997591.35833999992</v>
      </c>
      <c r="C12" s="90">
        <v>318573.12409</v>
      </c>
      <c r="D12" s="90">
        <v>141492.48549000002</v>
      </c>
      <c r="E12" s="90">
        <v>105178.67386</v>
      </c>
      <c r="F12" s="90">
        <v>640249.00107</v>
      </c>
      <c r="G12" s="90">
        <v>0</v>
      </c>
      <c r="H12" s="90">
        <f t="shared" si="0"/>
        <v>2203084.6428499999</v>
      </c>
    </row>
    <row r="13" spans="1:8" x14ac:dyDescent="0.25">
      <c r="A13" s="176" t="s">
        <v>524</v>
      </c>
      <c r="B13" s="87">
        <v>896617.91128000012</v>
      </c>
      <c r="C13" s="87">
        <v>324492.34874999995</v>
      </c>
      <c r="D13" s="87">
        <v>163781.94106000001</v>
      </c>
      <c r="E13" s="87">
        <v>140131.45956000002</v>
      </c>
      <c r="F13" s="87">
        <v>870222.20145000005</v>
      </c>
      <c r="G13" s="87">
        <v>0</v>
      </c>
      <c r="H13" s="87">
        <f t="shared" si="0"/>
        <v>2395245.8621000005</v>
      </c>
    </row>
    <row r="14" spans="1:8" x14ac:dyDescent="0.25">
      <c r="A14" s="134" t="s">
        <v>718</v>
      </c>
      <c r="B14" s="89">
        <v>1171997.5030399999</v>
      </c>
      <c r="C14" s="90">
        <v>354561.23259000003</v>
      </c>
      <c r="D14" s="90">
        <v>241760.12560999999</v>
      </c>
      <c r="E14" s="90">
        <v>156077.149</v>
      </c>
      <c r="F14" s="90">
        <v>923395.33694000007</v>
      </c>
      <c r="G14" s="90">
        <v>0</v>
      </c>
      <c r="H14" s="90">
        <f t="shared" si="0"/>
        <v>2847791.34718</v>
      </c>
    </row>
    <row r="15" spans="1:8" x14ac:dyDescent="0.25">
      <c r="A15" s="176" t="s">
        <v>877</v>
      </c>
      <c r="B15" s="87">
        <v>947750.74105000007</v>
      </c>
      <c r="C15" s="87">
        <v>400958.90666000004</v>
      </c>
      <c r="D15" s="87">
        <v>373417.05459000001</v>
      </c>
      <c r="E15" s="87">
        <v>212911.40100000001</v>
      </c>
      <c r="F15" s="87">
        <v>1179610.5163199999</v>
      </c>
      <c r="G15" s="87">
        <v>0</v>
      </c>
      <c r="H15" s="87">
        <f t="shared" si="0"/>
        <v>3114648.61962</v>
      </c>
    </row>
    <row r="16" spans="1:8" x14ac:dyDescent="0.25">
      <c r="A16" s="86"/>
      <c r="B16" s="91"/>
      <c r="C16" s="91"/>
      <c r="D16" s="91"/>
      <c r="E16" s="91"/>
      <c r="F16" s="91"/>
      <c r="G16" s="91"/>
      <c r="H16" s="91"/>
    </row>
    <row r="17" spans="2:8" x14ac:dyDescent="0.25">
      <c r="B17" s="114" t="s">
        <v>8</v>
      </c>
      <c r="C17" s="114" t="s">
        <v>372</v>
      </c>
      <c r="D17" s="114" t="s">
        <v>373</v>
      </c>
      <c r="E17" s="114" t="s">
        <v>374</v>
      </c>
      <c r="F17" s="114" t="s">
        <v>375</v>
      </c>
      <c r="G17" s="114" t="s">
        <v>531</v>
      </c>
      <c r="H17" s="114" t="s">
        <v>10</v>
      </c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Plan211"/>
  <dimension ref="A1:H16"/>
  <sheetViews>
    <sheetView showGridLines="0" workbookViewId="0">
      <selection activeCell="N17" sqref="N17"/>
    </sheetView>
  </sheetViews>
  <sheetFormatPr defaultRowHeight="15" x14ac:dyDescent="0.25"/>
  <cols>
    <col min="1" max="1" width="14.42578125" bestFit="1" customWidth="1"/>
    <col min="2" max="4" width="11.140625" customWidth="1"/>
    <col min="5" max="5" width="13.28515625" bestFit="1" customWidth="1"/>
    <col min="6" max="8" width="11.140625" customWidth="1"/>
  </cols>
  <sheetData>
    <row r="1" spans="1:8" x14ac:dyDescent="0.25">
      <c r="C1" s="78"/>
      <c r="D1" s="78"/>
      <c r="E1" s="78"/>
      <c r="F1" s="78"/>
      <c r="G1" s="78" t="s">
        <v>741</v>
      </c>
      <c r="H1" s="78" t="s">
        <v>1380</v>
      </c>
    </row>
    <row r="3" spans="1:8" x14ac:dyDescent="0.25">
      <c r="A3" s="350" t="str">
        <f>"Tabela Referente à "&amp;G1</f>
        <v>Tabela Referente à Figura 7.8</v>
      </c>
      <c r="B3" s="350"/>
      <c r="C3" s="350"/>
      <c r="D3" s="350"/>
      <c r="E3" s="350"/>
      <c r="F3" s="350"/>
      <c r="G3" s="350"/>
      <c r="H3" s="350"/>
    </row>
    <row r="4" spans="1:8" x14ac:dyDescent="0.25">
      <c r="A4" s="358" t="str">
        <f>H1</f>
        <v>Receita com Carga e Mala Postal (R$ 1.000,00) por empresa, 2015 a 2018</v>
      </c>
      <c r="B4" s="358"/>
      <c r="C4" s="358"/>
      <c r="D4" s="358"/>
      <c r="E4" s="358"/>
      <c r="F4" s="358"/>
      <c r="G4" s="358"/>
      <c r="H4" s="358"/>
    </row>
    <row r="5" spans="1:8" x14ac:dyDescent="0.25">
      <c r="A5" s="86" t="s">
        <v>355</v>
      </c>
      <c r="B5" s="91" t="str">
        <f>'Fig 7.7'!B5</f>
        <v>Latam</v>
      </c>
      <c r="C5" s="91" t="str">
        <f>'Fig 7.7'!C5</f>
        <v>Gol</v>
      </c>
      <c r="D5" s="91" t="str">
        <f>'Fig 7.7'!D5</f>
        <v>Azul</v>
      </c>
      <c r="E5" s="91" t="str">
        <f>'Fig 7.7'!E5</f>
        <v>Avianca Brasil</v>
      </c>
      <c r="F5" s="91" t="str">
        <f>'Fig 7.7'!F5</f>
        <v>Absa</v>
      </c>
      <c r="G5" s="91" t="str">
        <f>'Fig 7.7'!G5</f>
        <v>Outras</v>
      </c>
      <c r="H5" s="91" t="str">
        <f>'Fig 7.7'!H5</f>
        <v>Indústria</v>
      </c>
    </row>
    <row r="6" spans="1:8" x14ac:dyDescent="0.25">
      <c r="A6" s="134" t="str">
        <f>'Fig 7.7'!A6</f>
        <v>2009</v>
      </c>
      <c r="B6" s="89">
        <f>'Fig 7.7'!B6</f>
        <v>850368.21707000001</v>
      </c>
      <c r="C6" s="90">
        <f>'Fig 7.7'!C6</f>
        <v>133647.68400000001</v>
      </c>
      <c r="D6" s="90">
        <f>'Fig 7.7'!D6</f>
        <v>1060.5928200000001</v>
      </c>
      <c r="E6" s="90">
        <f>'Fig 7.7'!E6</f>
        <v>10218.217839999999</v>
      </c>
      <c r="F6" s="90">
        <f>'Fig 7.7'!F6</f>
        <v>199589.56721000001</v>
      </c>
      <c r="G6" s="90">
        <f>'Fig 7.7'!G6</f>
        <v>40179.40857</v>
      </c>
      <c r="H6" s="90">
        <f>'Fig 7.7'!H6</f>
        <v>1235063.6875100001</v>
      </c>
    </row>
    <row r="7" spans="1:8" x14ac:dyDescent="0.25">
      <c r="A7" s="176" t="str">
        <f>'Fig 7.7'!A7</f>
        <v>2010</v>
      </c>
      <c r="B7" s="87">
        <f>'Fig 7.7'!B7</f>
        <v>1080446.0821599995</v>
      </c>
      <c r="C7" s="88">
        <f>'Fig 7.7'!C7</f>
        <v>182188.10200000001</v>
      </c>
      <c r="D7" s="88">
        <f>'Fig 7.7'!D7</f>
        <v>16675.254810000002</v>
      </c>
      <c r="E7" s="88">
        <f>'Fig 7.7'!E7</f>
        <v>16044.35169</v>
      </c>
      <c r="F7" s="88">
        <f>'Fig 7.7'!F7</f>
        <v>519364.15135</v>
      </c>
      <c r="G7" s="88">
        <f>'Fig 7.7'!G7</f>
        <v>23975.966360000006</v>
      </c>
      <c r="H7" s="88">
        <f>'Fig 7.7'!H7</f>
        <v>1838693.9083699994</v>
      </c>
    </row>
    <row r="8" spans="1:8" x14ac:dyDescent="0.25">
      <c r="A8" s="134" t="str">
        <f>'Fig 7.7'!A8</f>
        <v>2011</v>
      </c>
      <c r="B8" s="89">
        <f>'Fig 7.7'!B8</f>
        <v>1084508.0258399998</v>
      </c>
      <c r="C8" s="90">
        <f>'Fig 7.7'!C8</f>
        <v>230471.60699999999</v>
      </c>
      <c r="D8" s="90">
        <f>'Fig 7.7'!D8</f>
        <v>39868.287229999994</v>
      </c>
      <c r="E8" s="90">
        <f>'Fig 7.7'!E8</f>
        <v>17902.37859</v>
      </c>
      <c r="F8" s="90">
        <f>'Fig 7.7'!F8</f>
        <v>616023.70143999998</v>
      </c>
      <c r="G8" s="90">
        <f>'Fig 7.7'!G8</f>
        <v>20220.742630000001</v>
      </c>
      <c r="H8" s="90">
        <f>'Fig 7.7'!H8</f>
        <v>2008994.7427299998</v>
      </c>
    </row>
    <row r="9" spans="1:8" x14ac:dyDescent="0.25">
      <c r="A9" s="176" t="str">
        <f>'Fig 7.7'!A9</f>
        <v>2012</v>
      </c>
      <c r="B9" s="87">
        <f>'Fig 7.7'!B9</f>
        <v>724935.22069999995</v>
      </c>
      <c r="C9" s="88">
        <f>'Fig 7.7'!C9</f>
        <v>173888.64800000002</v>
      </c>
      <c r="D9" s="88">
        <f>'Fig 7.7'!D9</f>
        <v>60738.531470000002</v>
      </c>
      <c r="E9" s="88">
        <f>'Fig 7.7'!E9</f>
        <v>32573.931500000002</v>
      </c>
      <c r="F9" s="88">
        <f>'Fig 7.7'!F9</f>
        <v>817345.21074000001</v>
      </c>
      <c r="G9" s="88">
        <f>'Fig 7.7'!G9</f>
        <v>26577.523299999997</v>
      </c>
      <c r="H9" s="88">
        <f>'Fig 7.7'!H9</f>
        <v>1836059.06571</v>
      </c>
    </row>
    <row r="10" spans="1:8" x14ac:dyDescent="0.25">
      <c r="A10" s="134" t="str">
        <f>'Fig 7.7'!A10</f>
        <v>2013</v>
      </c>
      <c r="B10" s="89">
        <f>'Fig 7.7'!B10</f>
        <v>917801.80583000008</v>
      </c>
      <c r="C10" s="90">
        <f>'Fig 7.7'!C10</f>
        <v>239407.06646999996</v>
      </c>
      <c r="D10" s="90">
        <f>'Fig 7.7'!D10</f>
        <v>105734.34431999999</v>
      </c>
      <c r="E10" s="90">
        <f>'Fig 7.7'!E10</f>
        <v>46843.180890000003</v>
      </c>
      <c r="F10" s="90">
        <f>'Fig 7.7'!F10</f>
        <v>1003518.1773600002</v>
      </c>
      <c r="G10" s="90">
        <f>'Fig 7.7'!G10</f>
        <v>9390.5134800000014</v>
      </c>
      <c r="H10" s="90">
        <f>'Fig 7.7'!H10</f>
        <v>2322695.0883500003</v>
      </c>
    </row>
    <row r="11" spans="1:8" x14ac:dyDescent="0.25">
      <c r="A11" s="176" t="str">
        <f>'Fig 7.7'!A11</f>
        <v>2014</v>
      </c>
      <c r="B11" s="87">
        <f>'Fig 7.7'!B11</f>
        <v>1107206.7875300001</v>
      </c>
      <c r="C11" s="88">
        <f>'Fig 7.7'!C11</f>
        <v>239877.67484999992</v>
      </c>
      <c r="D11" s="88">
        <f>'Fig 7.7'!D11</f>
        <v>130709.84076999998</v>
      </c>
      <c r="E11" s="88">
        <f>'Fig 7.7'!E11</f>
        <v>61899.395450000004</v>
      </c>
      <c r="F11" s="88">
        <f>'Fig 7.7'!F11</f>
        <v>1002999.7358</v>
      </c>
      <c r="G11" s="88">
        <f>'Fig 7.7'!G11</f>
        <v>0</v>
      </c>
      <c r="H11" s="88">
        <f>'Fig 7.7'!H11</f>
        <v>2542693.4343999997</v>
      </c>
    </row>
    <row r="12" spans="1:8" x14ac:dyDescent="0.25">
      <c r="A12" s="134" t="str">
        <f>'Fig 7.7'!A12</f>
        <v>2015</v>
      </c>
      <c r="B12" s="89">
        <f>'Fig 7.7'!B12</f>
        <v>997591.35833999992</v>
      </c>
      <c r="C12" s="90">
        <f>'Fig 7.7'!C12</f>
        <v>318573.12409</v>
      </c>
      <c r="D12" s="90">
        <f>'Fig 7.7'!D12</f>
        <v>141492.48549000002</v>
      </c>
      <c r="E12" s="90">
        <f>'Fig 7.7'!E12</f>
        <v>105178.67386</v>
      </c>
      <c r="F12" s="90">
        <f>'Fig 7.7'!F12</f>
        <v>640249.00107</v>
      </c>
      <c r="G12" s="90">
        <f>'Fig 7.7'!G12</f>
        <v>0</v>
      </c>
      <c r="H12" s="90">
        <f>'Fig 7.7'!H12</f>
        <v>2203084.6428499999</v>
      </c>
    </row>
    <row r="13" spans="1:8" x14ac:dyDescent="0.25">
      <c r="A13" s="176" t="str">
        <f>'Fig 7.7'!A13</f>
        <v>2016</v>
      </c>
      <c r="B13" s="87">
        <f>'Fig 7.7'!B13</f>
        <v>896617.91128000012</v>
      </c>
      <c r="C13" s="88">
        <f>'Fig 7.7'!C13</f>
        <v>324492.34874999995</v>
      </c>
      <c r="D13" s="88">
        <f>'Fig 7.7'!D13</f>
        <v>163781.94106000001</v>
      </c>
      <c r="E13" s="88">
        <f>'Fig 7.7'!E13</f>
        <v>140131.45956000002</v>
      </c>
      <c r="F13" s="88">
        <f>'Fig 7.7'!F13</f>
        <v>870222.20145000005</v>
      </c>
      <c r="G13" s="88">
        <f>'Fig 7.7'!G13</f>
        <v>0</v>
      </c>
      <c r="H13" s="88">
        <f>'Fig 7.7'!H13</f>
        <v>2395245.8621000005</v>
      </c>
    </row>
    <row r="14" spans="1:8" x14ac:dyDescent="0.25">
      <c r="A14" s="134" t="str">
        <f>'Fig 7.7'!A14</f>
        <v>2017</v>
      </c>
      <c r="B14" s="89">
        <f>'Fig 7.7'!B14</f>
        <v>1171997.5030399999</v>
      </c>
      <c r="C14" s="90">
        <f>'Fig 7.7'!C14</f>
        <v>354561.23259000003</v>
      </c>
      <c r="D14" s="90">
        <f>'Fig 7.7'!D14</f>
        <v>241760.12560999999</v>
      </c>
      <c r="E14" s="90">
        <f>'Fig 7.7'!E14</f>
        <v>156077.149</v>
      </c>
      <c r="F14" s="90">
        <f>'Fig 7.7'!F14</f>
        <v>923395.33694000007</v>
      </c>
      <c r="G14" s="90">
        <f>'Fig 7.7'!G14</f>
        <v>0</v>
      </c>
      <c r="H14" s="90">
        <f>'Fig 7.7'!H14</f>
        <v>2847791.34718</v>
      </c>
    </row>
    <row r="15" spans="1:8" x14ac:dyDescent="0.25">
      <c r="A15" s="176" t="str">
        <f>'Fig 7.7'!A15</f>
        <v>2018</v>
      </c>
      <c r="B15" s="87">
        <f>'Fig 7.7'!B15</f>
        <v>947750.74105000007</v>
      </c>
      <c r="C15" s="88">
        <f>'Fig 7.7'!C15</f>
        <v>400958.90666000004</v>
      </c>
      <c r="D15" s="88">
        <f>'Fig 7.7'!D15</f>
        <v>373417.05459000001</v>
      </c>
      <c r="E15" s="88">
        <f>'Fig 7.7'!E15</f>
        <v>212911.40100000001</v>
      </c>
      <c r="F15" s="88">
        <f>'Fig 7.7'!F15</f>
        <v>1179610.5163199999</v>
      </c>
      <c r="G15" s="88">
        <f>'Fig 7.7'!G15</f>
        <v>0</v>
      </c>
      <c r="H15" s="88">
        <f>'Fig 7.7'!H15</f>
        <v>3114648.61962</v>
      </c>
    </row>
    <row r="16" spans="1:8" x14ac:dyDescent="0.25">
      <c r="A16" s="86"/>
      <c r="B16" s="91"/>
      <c r="C16" s="91"/>
      <c r="D16" s="91"/>
      <c r="E16" s="91"/>
      <c r="F16" s="91"/>
      <c r="G16" s="91"/>
      <c r="H16" s="91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Plan150"/>
  <dimension ref="A1:H24"/>
  <sheetViews>
    <sheetView showGridLines="0" workbookViewId="0">
      <selection activeCell="B6" sqref="B6:B11"/>
    </sheetView>
  </sheetViews>
  <sheetFormatPr defaultRowHeight="15" x14ac:dyDescent="0.25"/>
  <cols>
    <col min="2" max="2" width="36.5703125" customWidth="1"/>
    <col min="3" max="3" width="18" bestFit="1" customWidth="1"/>
  </cols>
  <sheetData>
    <row r="1" spans="1:8" x14ac:dyDescent="0.25">
      <c r="C1" s="78"/>
      <c r="D1" s="78"/>
      <c r="E1" s="78"/>
      <c r="F1" s="78"/>
      <c r="G1" s="78" t="s">
        <v>742</v>
      </c>
      <c r="H1" s="78" t="s">
        <v>1381</v>
      </c>
    </row>
    <row r="3" spans="1:8" x14ac:dyDescent="0.25">
      <c r="A3" s="350" t="str">
        <f>"Tabela Referente à "&amp;G1</f>
        <v>Tabela Referente à Figura 7.9</v>
      </c>
      <c r="B3" s="350"/>
    </row>
    <row r="4" spans="1:8" ht="28.5" customHeight="1" x14ac:dyDescent="0.25">
      <c r="A4" s="359" t="str">
        <f>H1</f>
        <v>Custos e Despesas de voo da indústria, 2009 a 2018</v>
      </c>
      <c r="B4" s="359"/>
    </row>
    <row r="5" spans="1:8" ht="17.25" customHeight="1" x14ac:dyDescent="0.25">
      <c r="A5" s="94" t="s">
        <v>20</v>
      </c>
      <c r="B5" s="91" t="s">
        <v>398</v>
      </c>
    </row>
    <row r="6" spans="1:8" x14ac:dyDescent="0.25">
      <c r="A6" s="134" t="s">
        <v>44</v>
      </c>
      <c r="B6" s="96">
        <v>17317361652.920002</v>
      </c>
      <c r="C6" s="336"/>
    </row>
    <row r="7" spans="1:8" x14ac:dyDescent="0.25">
      <c r="A7" s="176" t="s">
        <v>45</v>
      </c>
      <c r="B7" s="95">
        <v>20846733528.73</v>
      </c>
      <c r="C7" s="336"/>
      <c r="D7" s="78"/>
    </row>
    <row r="8" spans="1:8" x14ac:dyDescent="0.25">
      <c r="A8" s="134" t="s">
        <v>3</v>
      </c>
      <c r="B8" s="96">
        <v>25427503707.360004</v>
      </c>
      <c r="C8" s="336"/>
      <c r="D8" s="78"/>
    </row>
    <row r="9" spans="1:8" x14ac:dyDescent="0.25">
      <c r="A9" s="176" t="s">
        <v>4</v>
      </c>
      <c r="B9" s="95">
        <v>29653605572.669994</v>
      </c>
      <c r="C9" s="336"/>
      <c r="D9" s="78"/>
    </row>
    <row r="10" spans="1:8" x14ac:dyDescent="0.25">
      <c r="A10" s="134" t="s">
        <v>395</v>
      </c>
      <c r="B10" s="96">
        <v>31555659806.300003</v>
      </c>
      <c r="C10" s="336"/>
      <c r="D10" s="78"/>
    </row>
    <row r="11" spans="1:8" x14ac:dyDescent="0.25">
      <c r="A11" s="176" t="s">
        <v>413</v>
      </c>
      <c r="B11" s="95">
        <v>33288163686.889996</v>
      </c>
      <c r="C11" s="336"/>
      <c r="D11" s="114">
        <f>(B11/B6)^(1/5)-1</f>
        <v>0.13962409338883952</v>
      </c>
    </row>
    <row r="12" spans="1:8" x14ac:dyDescent="0.25">
      <c r="A12" s="134" t="s">
        <v>489</v>
      </c>
      <c r="B12" s="96">
        <v>34974562464.870003</v>
      </c>
      <c r="C12" s="336"/>
    </row>
    <row r="13" spans="1:8" x14ac:dyDescent="0.25">
      <c r="A13" s="176" t="s">
        <v>524</v>
      </c>
      <c r="B13" s="95">
        <v>33976343142.580002</v>
      </c>
      <c r="C13" s="336"/>
    </row>
    <row r="14" spans="1:8" x14ac:dyDescent="0.25">
      <c r="A14" s="134" t="s">
        <v>718</v>
      </c>
      <c r="B14" s="96">
        <v>34617926825.650002</v>
      </c>
      <c r="C14" s="336"/>
      <c r="D14" s="114">
        <f>(C14+1)^(1/COUNTA(B7:B14))-1</f>
        <v>0</v>
      </c>
    </row>
    <row r="15" spans="1:8" x14ac:dyDescent="0.25">
      <c r="A15" s="176" t="s">
        <v>877</v>
      </c>
      <c r="B15" s="95">
        <v>41867125950.720001</v>
      </c>
      <c r="C15" s="336"/>
    </row>
    <row r="16" spans="1:8" x14ac:dyDescent="0.25">
      <c r="A16" s="94"/>
      <c r="B16" s="91"/>
    </row>
    <row r="17" spans="2:2" x14ac:dyDescent="0.25">
      <c r="B17" s="8"/>
    </row>
    <row r="18" spans="2:2" x14ac:dyDescent="0.25">
      <c r="B18" s="73"/>
    </row>
    <row r="19" spans="2:2" x14ac:dyDescent="0.25">
      <c r="B19" s="73"/>
    </row>
    <row r="20" spans="2:2" x14ac:dyDescent="0.25">
      <c r="B20" s="73"/>
    </row>
    <row r="21" spans="2:2" x14ac:dyDescent="0.25">
      <c r="B21" s="73"/>
    </row>
    <row r="22" spans="2:2" x14ac:dyDescent="0.25">
      <c r="B22" s="73"/>
    </row>
    <row r="23" spans="2:2" x14ac:dyDescent="0.25">
      <c r="B23" s="73"/>
    </row>
    <row r="24" spans="2:2" x14ac:dyDescent="0.25">
      <c r="B24" s="73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Plan151"/>
  <dimension ref="A1:H15"/>
  <sheetViews>
    <sheetView showGridLines="0" workbookViewId="0">
      <selection activeCell="B6" sqref="B6"/>
    </sheetView>
  </sheetViews>
  <sheetFormatPr defaultRowHeight="15" x14ac:dyDescent="0.25"/>
  <cols>
    <col min="1" max="1" width="17.5703125" customWidth="1"/>
    <col min="2" max="2" width="42.7109375" bestFit="1" customWidth="1"/>
  </cols>
  <sheetData>
    <row r="1" spans="1:8" x14ac:dyDescent="0.25">
      <c r="C1" s="78"/>
      <c r="D1" s="78"/>
      <c r="E1" s="78"/>
      <c r="F1" s="78"/>
      <c r="G1" s="78" t="s">
        <v>743</v>
      </c>
      <c r="H1" s="78" t="s">
        <v>1382</v>
      </c>
    </row>
    <row r="3" spans="1:8" x14ac:dyDescent="0.25">
      <c r="A3" s="350" t="str">
        <f>"Tabela Referente à "&amp;G1</f>
        <v>Tabela Referente à Figura 7.10</v>
      </c>
      <c r="B3" s="350"/>
    </row>
    <row r="4" spans="1:8" ht="33.75" customHeight="1" x14ac:dyDescent="0.25">
      <c r="A4" s="359" t="str">
        <f>H1</f>
        <v>Variação dos custos e despesas de voo da indústria, 2010 a 2018</v>
      </c>
      <c r="B4" s="359"/>
    </row>
    <row r="5" spans="1:8" x14ac:dyDescent="0.25">
      <c r="A5" s="94" t="s">
        <v>20</v>
      </c>
      <c r="B5" s="91" t="s">
        <v>358</v>
      </c>
    </row>
    <row r="6" spans="1:8" x14ac:dyDescent="0.25">
      <c r="A6" s="176" t="s">
        <v>45</v>
      </c>
      <c r="B6" s="101">
        <f>'Fig 7.9'!B7/'Fig 7.9'!B6-1</f>
        <v>0.20380540330258023</v>
      </c>
    </row>
    <row r="7" spans="1:8" x14ac:dyDescent="0.25">
      <c r="A7" s="134" t="s">
        <v>3</v>
      </c>
      <c r="B7" s="100">
        <f>'Fig 7.9'!B8/'Fig 7.9'!B7-1</f>
        <v>0.21973563255447193</v>
      </c>
    </row>
    <row r="8" spans="1:8" x14ac:dyDescent="0.25">
      <c r="A8" s="176" t="s">
        <v>4</v>
      </c>
      <c r="B8" s="101">
        <f>'Fig 7.9'!B9/'Fig 7.9'!B8-1</f>
        <v>0.16620199583676554</v>
      </c>
    </row>
    <row r="9" spans="1:8" x14ac:dyDescent="0.25">
      <c r="A9" s="134" t="s">
        <v>395</v>
      </c>
      <c r="B9" s="100">
        <f>'Fig 7.9'!B10/'Fig 7.9'!B9-1</f>
        <v>6.414242709773621E-2</v>
      </c>
    </row>
    <row r="10" spans="1:8" x14ac:dyDescent="0.25">
      <c r="A10" s="176" t="s">
        <v>413</v>
      </c>
      <c r="B10" s="101">
        <f>'Fig 7.9'!B11/'Fig 7.9'!B10-1</f>
        <v>5.4903110605980743E-2</v>
      </c>
    </row>
    <row r="11" spans="1:8" x14ac:dyDescent="0.25">
      <c r="A11" s="134" t="s">
        <v>489</v>
      </c>
      <c r="B11" s="100">
        <f>'Fig 7.9'!B12/'Fig 7.9'!B11-1</f>
        <v>5.0660612998732812E-2</v>
      </c>
    </row>
    <row r="12" spans="1:8" x14ac:dyDescent="0.25">
      <c r="A12" s="176" t="s">
        <v>524</v>
      </c>
      <c r="B12" s="101">
        <f>'Fig 7.9'!B13/'Fig 7.9'!B12-1</f>
        <v>-2.8541295499912467E-2</v>
      </c>
    </row>
    <row r="13" spans="1:8" x14ac:dyDescent="0.25">
      <c r="A13" s="134" t="s">
        <v>718</v>
      </c>
      <c r="B13" s="100">
        <f>'Fig 7.9'!B14/'Fig 7.9'!B13-1</f>
        <v>1.8883247098654188E-2</v>
      </c>
    </row>
    <row r="14" spans="1:8" x14ac:dyDescent="0.25">
      <c r="A14" s="176" t="s">
        <v>877</v>
      </c>
      <c r="B14" s="101">
        <f>'Fig 7.9'!B15/'Fig 7.9'!B14-1</f>
        <v>0.20940592894484755</v>
      </c>
    </row>
    <row r="15" spans="1:8" x14ac:dyDescent="0.25">
      <c r="A15" s="94"/>
      <c r="B15" s="9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Plan152"/>
  <dimension ref="A1:H17"/>
  <sheetViews>
    <sheetView showGridLines="0" workbookViewId="0">
      <selection activeCell="D21" sqref="D21"/>
    </sheetView>
  </sheetViews>
  <sheetFormatPr defaultRowHeight="15" x14ac:dyDescent="0.25"/>
  <cols>
    <col min="1" max="1" width="59.140625" bestFit="1" customWidth="1"/>
    <col min="2" max="2" width="46.7109375" bestFit="1" customWidth="1"/>
    <col min="3" max="3" width="9.5703125" bestFit="1" customWidth="1"/>
    <col min="4" max="4" width="34.7109375" bestFit="1" customWidth="1"/>
    <col min="5" max="5" width="14.28515625" bestFit="1" customWidth="1"/>
    <col min="7" max="7" width="11.5703125" bestFit="1" customWidth="1"/>
    <col min="8" max="8" width="58.85546875" bestFit="1" customWidth="1"/>
  </cols>
  <sheetData>
    <row r="1" spans="1:8" x14ac:dyDescent="0.25">
      <c r="C1" s="78"/>
      <c r="D1" s="78"/>
      <c r="E1" s="78"/>
      <c r="F1" s="78"/>
      <c r="G1" s="78" t="s">
        <v>744</v>
      </c>
      <c r="H1" s="78" t="s">
        <v>1383</v>
      </c>
    </row>
    <row r="3" spans="1:8" x14ac:dyDescent="0.25">
      <c r="A3" s="350" t="str">
        <f>"Tabela Referente à "&amp;G1</f>
        <v>Tabela Referente à Figura 7.11</v>
      </c>
      <c r="B3" s="350"/>
    </row>
    <row r="4" spans="1:8" ht="30.75" customHeight="1" x14ac:dyDescent="0.25">
      <c r="A4" s="359" t="str">
        <f>H1</f>
        <v>Composição dos custos e das despesas de voo da indústria, 2018</v>
      </c>
      <c r="B4" s="359"/>
    </row>
    <row r="5" spans="1:8" x14ac:dyDescent="0.25">
      <c r="A5" s="94"/>
      <c r="B5" s="91" t="s">
        <v>359</v>
      </c>
    </row>
    <row r="6" spans="1:8" x14ac:dyDescent="0.25">
      <c r="A6" s="92" t="s">
        <v>500</v>
      </c>
      <c r="B6" s="101">
        <v>0.15215130465072665</v>
      </c>
    </row>
    <row r="7" spans="1:8" x14ac:dyDescent="0.25">
      <c r="A7" s="93" t="s">
        <v>494</v>
      </c>
      <c r="B7" s="100">
        <v>0.32180359824185767</v>
      </c>
    </row>
    <row r="8" spans="1:8" x14ac:dyDescent="0.25">
      <c r="A8" s="92" t="s">
        <v>501</v>
      </c>
      <c r="B8" s="101">
        <v>9.314685697522208E-3</v>
      </c>
    </row>
    <row r="9" spans="1:8" x14ac:dyDescent="0.25">
      <c r="A9" s="93" t="s">
        <v>502</v>
      </c>
      <c r="B9" s="100">
        <v>5.2273863310387473E-3</v>
      </c>
    </row>
    <row r="10" spans="1:8" x14ac:dyDescent="0.25">
      <c r="A10" s="92" t="s">
        <v>503</v>
      </c>
      <c r="B10" s="101">
        <v>3.5015655536585269E-2</v>
      </c>
    </row>
    <row r="11" spans="1:8" x14ac:dyDescent="0.25">
      <c r="A11" s="93" t="s">
        <v>495</v>
      </c>
      <c r="B11" s="100">
        <v>0.20308606676218044</v>
      </c>
    </row>
    <row r="12" spans="1:8" x14ac:dyDescent="0.25">
      <c r="A12" s="92" t="s">
        <v>496</v>
      </c>
      <c r="B12" s="101">
        <v>2.9144619420685469E-2</v>
      </c>
    </row>
    <row r="13" spans="1:8" x14ac:dyDescent="0.25">
      <c r="A13" s="93" t="s">
        <v>497</v>
      </c>
      <c r="B13" s="100">
        <v>3.2339989330473128E-2</v>
      </c>
    </row>
    <row r="14" spans="1:8" x14ac:dyDescent="0.25">
      <c r="A14" s="92" t="s">
        <v>498</v>
      </c>
      <c r="B14" s="101">
        <v>5.3671045085083961E-2</v>
      </c>
      <c r="C14" s="82"/>
    </row>
    <row r="15" spans="1:8" x14ac:dyDescent="0.25">
      <c r="A15" s="93" t="s">
        <v>512</v>
      </c>
      <c r="B15" s="100">
        <v>4.6668862249049099E-2</v>
      </c>
      <c r="C15" s="82"/>
    </row>
    <row r="16" spans="1:8" x14ac:dyDescent="0.25">
      <c r="A16" s="92" t="s">
        <v>499</v>
      </c>
      <c r="B16" s="101">
        <v>0.11139288707089144</v>
      </c>
    </row>
    <row r="17" spans="1:2" x14ac:dyDescent="0.25">
      <c r="A17" s="94"/>
      <c r="B17" s="9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Plan169"/>
  <dimension ref="A1:I17"/>
  <sheetViews>
    <sheetView showGridLines="0" workbookViewId="0">
      <selection activeCell="B6" sqref="B6:E16"/>
    </sheetView>
  </sheetViews>
  <sheetFormatPr defaultRowHeight="15" x14ac:dyDescent="0.25"/>
  <cols>
    <col min="1" max="1" width="57.140625" customWidth="1"/>
    <col min="2" max="3" width="11.28515625" customWidth="1"/>
    <col min="4" max="4" width="11.28515625" style="320" customWidth="1"/>
    <col min="5" max="8" width="11.28515625" customWidth="1"/>
    <col min="10" max="10" width="60.7109375" customWidth="1"/>
    <col min="11" max="11" width="11.5703125" bestFit="1" customWidth="1"/>
  </cols>
  <sheetData>
    <row r="1" spans="1:9" x14ac:dyDescent="0.25">
      <c r="C1" s="78"/>
      <c r="D1" s="78"/>
      <c r="E1" s="78"/>
      <c r="F1" s="78"/>
      <c r="G1" s="78" t="s">
        <v>745</v>
      </c>
      <c r="H1" s="78" t="s">
        <v>1384</v>
      </c>
      <c r="I1" s="78" t="s">
        <v>757</v>
      </c>
    </row>
    <row r="3" spans="1:9" x14ac:dyDescent="0.25">
      <c r="A3" s="350" t="str">
        <f>"Tabela Referente à "&amp;H1</f>
        <v>Tabela Referente à Evolução da composição das despesas e dos custos de voo – por tipo, 2015 a 2018</v>
      </c>
      <c r="B3" s="350"/>
      <c r="C3" s="350"/>
      <c r="D3" s="319"/>
      <c r="E3" s="162"/>
      <c r="F3" s="162"/>
      <c r="G3" s="162"/>
      <c r="H3" s="162"/>
      <c r="I3" s="162"/>
    </row>
    <row r="4" spans="1:9" ht="15" customHeight="1" x14ac:dyDescent="0.25">
      <c r="A4" s="361" t="str">
        <f>I1</f>
        <v>Evolução da composição das despesas e dos custos de voo – por tipo, 2016 a 2017</v>
      </c>
      <c r="B4" s="361"/>
      <c r="C4" s="361"/>
      <c r="D4" s="361"/>
      <c r="E4" s="361"/>
      <c r="F4" s="162"/>
      <c r="G4" s="162"/>
      <c r="H4" s="162"/>
    </row>
    <row r="5" spans="1:9" x14ac:dyDescent="0.25">
      <c r="A5" s="94" t="s">
        <v>356</v>
      </c>
      <c r="B5" s="181" t="s">
        <v>489</v>
      </c>
      <c r="C5" s="181" t="s">
        <v>524</v>
      </c>
      <c r="D5" s="181" t="s">
        <v>718</v>
      </c>
      <c r="E5" s="181" t="s">
        <v>877</v>
      </c>
    </row>
    <row r="6" spans="1:9" x14ac:dyDescent="0.25">
      <c r="A6" s="92" t="s">
        <v>500</v>
      </c>
      <c r="B6" s="101">
        <v>0.1593930517748067</v>
      </c>
      <c r="C6" s="101">
        <v>0.15465179446937816</v>
      </c>
      <c r="D6" s="101">
        <v>0.17603605598864377</v>
      </c>
      <c r="E6" s="101">
        <v>0.15215130465072665</v>
      </c>
    </row>
    <row r="7" spans="1:9" x14ac:dyDescent="0.25">
      <c r="A7" s="93" t="s">
        <v>494</v>
      </c>
      <c r="B7" s="100">
        <v>0.29460607932279326</v>
      </c>
      <c r="C7" s="100">
        <v>0.24702583415261756</v>
      </c>
      <c r="D7" s="100">
        <v>0.27446505781897085</v>
      </c>
      <c r="E7" s="100">
        <v>0.32180359824185767</v>
      </c>
    </row>
    <row r="8" spans="1:9" x14ac:dyDescent="0.25">
      <c r="A8" s="92" t="s">
        <v>501</v>
      </c>
      <c r="B8" s="101">
        <v>1.2737021482991476E-2</v>
      </c>
      <c r="C8" s="101">
        <v>7.1400483248173332E-3</v>
      </c>
      <c r="D8" s="101">
        <v>9.1719852116720554E-3</v>
      </c>
      <c r="E8" s="101">
        <v>9.314685697522208E-3</v>
      </c>
    </row>
    <row r="9" spans="1:9" x14ac:dyDescent="0.25">
      <c r="A9" s="93" t="s">
        <v>502</v>
      </c>
      <c r="B9" s="100">
        <v>5.4393408267111587E-3</v>
      </c>
      <c r="C9" s="100">
        <v>6.7324274537582055E-3</v>
      </c>
      <c r="D9" s="100">
        <v>8.2070345563103955E-3</v>
      </c>
      <c r="E9" s="100">
        <v>5.2273863310387473E-3</v>
      </c>
    </row>
    <row r="10" spans="1:9" x14ac:dyDescent="0.25">
      <c r="A10" s="92" t="s">
        <v>503</v>
      </c>
      <c r="B10" s="101">
        <v>4.4973129048117934E-2</v>
      </c>
      <c r="C10" s="101">
        <v>2.9002294053449253E-2</v>
      </c>
      <c r="D10" s="101">
        <v>3.6855311322265431E-2</v>
      </c>
      <c r="E10" s="101">
        <v>3.5015655536585269E-2</v>
      </c>
    </row>
    <row r="11" spans="1:9" x14ac:dyDescent="0.25">
      <c r="A11" s="93" t="s">
        <v>495</v>
      </c>
      <c r="B11" s="100">
        <v>0.21049016363586961</v>
      </c>
      <c r="C11" s="100">
        <v>0.22707031170194811</v>
      </c>
      <c r="D11" s="100">
        <v>0.20254050454670081</v>
      </c>
      <c r="E11" s="100">
        <v>0.20308606676218044</v>
      </c>
    </row>
    <row r="12" spans="1:9" x14ac:dyDescent="0.25">
      <c r="A12" s="92" t="s">
        <v>496</v>
      </c>
      <c r="B12" s="101">
        <v>3.0680936934771169E-2</v>
      </c>
      <c r="C12" s="101">
        <v>3.2722537135541005E-2</v>
      </c>
      <c r="D12" s="101">
        <v>3.1427299883136979E-2</v>
      </c>
      <c r="E12" s="101">
        <v>2.9144619420685469E-2</v>
      </c>
    </row>
    <row r="13" spans="1:9" x14ac:dyDescent="0.25">
      <c r="A13" s="93" t="s">
        <v>497</v>
      </c>
      <c r="B13" s="100">
        <v>2.7933851902861462E-2</v>
      </c>
      <c r="C13" s="100">
        <v>3.4959941012373673E-2</v>
      </c>
      <c r="D13" s="100">
        <v>3.5774593570002559E-2</v>
      </c>
      <c r="E13" s="100">
        <v>3.2339989330473128E-2</v>
      </c>
    </row>
    <row r="14" spans="1:9" x14ac:dyDescent="0.25">
      <c r="A14" s="92" t="s">
        <v>498</v>
      </c>
      <c r="B14" s="101">
        <v>4.4746234754171284E-2</v>
      </c>
      <c r="C14" s="101">
        <v>5.0605526618586909E-2</v>
      </c>
      <c r="D14" s="101">
        <v>4.8561840564802977E-2</v>
      </c>
      <c r="E14" s="101">
        <v>5.3671045085083961E-2</v>
      </c>
    </row>
    <row r="15" spans="1:9" x14ac:dyDescent="0.25">
      <c r="A15" s="93" t="s">
        <v>512</v>
      </c>
      <c r="B15" s="100">
        <v>3.5655255849985669E-2</v>
      </c>
      <c r="C15" s="100">
        <v>4.6095957578501622E-2</v>
      </c>
      <c r="D15" s="100">
        <v>3.2615969722096579E-2</v>
      </c>
      <c r="E15" s="100">
        <v>4.6852761872954972E-2</v>
      </c>
    </row>
    <row r="16" spans="1:9" x14ac:dyDescent="0.25">
      <c r="A16" s="92" t="s">
        <v>499</v>
      </c>
      <c r="B16" s="101">
        <v>0.13334493446692008</v>
      </c>
      <c r="C16" s="101">
        <v>0.16399332749902829</v>
      </c>
      <c r="D16" s="101">
        <v>0.14434434681539768</v>
      </c>
      <c r="E16" s="101">
        <v>0.11139288707089144</v>
      </c>
    </row>
    <row r="17" spans="1:5" x14ac:dyDescent="0.25">
      <c r="A17" s="94" t="s">
        <v>104</v>
      </c>
      <c r="B17" s="98"/>
      <c r="C17" s="98"/>
      <c r="D17" s="98"/>
      <c r="E17" s="98"/>
    </row>
  </sheetData>
  <mergeCells count="2">
    <mergeCell ref="A3:C3"/>
    <mergeCell ref="A4:E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6"/>
  <dimension ref="A1:H13"/>
  <sheetViews>
    <sheetView showGridLines="0" workbookViewId="0">
      <selection activeCell="A2" sqref="A2"/>
    </sheetView>
  </sheetViews>
  <sheetFormatPr defaultRowHeight="15" x14ac:dyDescent="0.25"/>
  <cols>
    <col min="1" max="1" width="37" bestFit="1" customWidth="1"/>
    <col min="2" max="6" width="8" bestFit="1" customWidth="1"/>
  </cols>
  <sheetData>
    <row r="1" spans="1:8" x14ac:dyDescent="0.25">
      <c r="C1" s="78"/>
      <c r="D1" s="78"/>
      <c r="E1" s="78"/>
      <c r="F1" s="78"/>
      <c r="G1" s="78" t="s">
        <v>1119</v>
      </c>
      <c r="H1" s="78" t="s">
        <v>1120</v>
      </c>
    </row>
    <row r="3" spans="1:8" x14ac:dyDescent="0.25">
      <c r="A3" s="350" t="str">
        <f>"Tabela Referente à "&amp;G1</f>
        <v>Tabela Referente à Figura 1.1</v>
      </c>
      <c r="B3" s="350"/>
      <c r="C3" s="350"/>
      <c r="D3" s="350"/>
      <c r="E3" s="350"/>
    </row>
    <row r="4" spans="1:8" ht="17.25" customHeight="1" x14ac:dyDescent="0.25">
      <c r="A4" s="351" t="str">
        <f>H1</f>
        <v>Quantidade de empregados por categoria – empresas aéreas brasileiras, 2013 a 2018</v>
      </c>
      <c r="B4" s="351"/>
      <c r="C4" s="351"/>
      <c r="D4" s="351"/>
      <c r="E4" s="351"/>
      <c r="F4" s="351"/>
      <c r="G4" s="351"/>
    </row>
    <row r="5" spans="1:8" x14ac:dyDescent="0.25">
      <c r="A5" s="1" t="s">
        <v>2</v>
      </c>
      <c r="B5" s="21">
        <v>2013</v>
      </c>
      <c r="C5" s="21">
        <v>2014</v>
      </c>
      <c r="D5" s="21">
        <v>2015</v>
      </c>
      <c r="E5" s="21">
        <v>2016</v>
      </c>
      <c r="F5" s="21">
        <v>2017</v>
      </c>
      <c r="G5" s="21">
        <v>2018</v>
      </c>
    </row>
    <row r="6" spans="1:8" x14ac:dyDescent="0.25">
      <c r="A6" s="3" t="s">
        <v>5</v>
      </c>
      <c r="B6" s="7">
        <v>5331</v>
      </c>
      <c r="C6" s="7">
        <v>5506</v>
      </c>
      <c r="D6" s="7">
        <v>5562</v>
      </c>
      <c r="E6" s="7">
        <v>5212</v>
      </c>
      <c r="F6" s="7">
        <v>5233</v>
      </c>
      <c r="G6" s="7">
        <v>5503</v>
      </c>
    </row>
    <row r="7" spans="1:8" x14ac:dyDescent="0.25">
      <c r="A7" s="2" t="s">
        <v>429</v>
      </c>
      <c r="B7" s="8">
        <v>36</v>
      </c>
      <c r="C7" s="8">
        <v>51</v>
      </c>
      <c r="D7" s="8">
        <v>35</v>
      </c>
      <c r="E7" s="8">
        <v>40</v>
      </c>
      <c r="F7" s="8">
        <v>24</v>
      </c>
      <c r="G7" s="8">
        <v>19</v>
      </c>
    </row>
    <row r="8" spans="1:8" x14ac:dyDescent="0.25">
      <c r="A8" s="3" t="s">
        <v>719</v>
      </c>
      <c r="B8" s="7">
        <v>10417</v>
      </c>
      <c r="C8" s="7">
        <v>10517</v>
      </c>
      <c r="D8" s="7">
        <v>10580</v>
      </c>
      <c r="E8" s="7">
        <v>9939</v>
      </c>
      <c r="F8" s="7">
        <v>9887</v>
      </c>
      <c r="G8" s="7">
        <v>10079</v>
      </c>
    </row>
    <row r="9" spans="1:8" x14ac:dyDescent="0.25">
      <c r="A9" s="2" t="s">
        <v>430</v>
      </c>
      <c r="B9" s="8">
        <v>7872</v>
      </c>
      <c r="C9" s="8">
        <v>8192</v>
      </c>
      <c r="D9" s="8">
        <v>7498</v>
      </c>
      <c r="E9" s="8">
        <v>7156</v>
      </c>
      <c r="F9" s="8">
        <v>7218</v>
      </c>
      <c r="G9" s="8">
        <v>7071</v>
      </c>
    </row>
    <row r="10" spans="1:8" x14ac:dyDescent="0.25">
      <c r="A10" s="3" t="s">
        <v>431</v>
      </c>
      <c r="B10" s="7">
        <v>10733</v>
      </c>
      <c r="C10" s="7">
        <v>10564</v>
      </c>
      <c r="D10" s="7">
        <v>9585</v>
      </c>
      <c r="E10" s="7">
        <v>6498</v>
      </c>
      <c r="F10" s="7">
        <v>9293</v>
      </c>
      <c r="G10" s="7">
        <v>9061</v>
      </c>
    </row>
    <row r="11" spans="1:8" x14ac:dyDescent="0.25">
      <c r="A11" s="2" t="s">
        <v>63</v>
      </c>
      <c r="B11" s="8">
        <v>21246</v>
      </c>
      <c r="C11" s="8">
        <v>22169</v>
      </c>
      <c r="D11" s="8">
        <v>20989</v>
      </c>
      <c r="E11" s="8">
        <v>21292</v>
      </c>
      <c r="F11" s="8">
        <v>15438</v>
      </c>
      <c r="G11" s="8">
        <v>13237</v>
      </c>
    </row>
    <row r="12" spans="1:8" x14ac:dyDescent="0.25">
      <c r="A12" s="16" t="s">
        <v>9</v>
      </c>
      <c r="B12" s="9">
        <v>55635</v>
      </c>
      <c r="C12" s="9">
        <v>56999</v>
      </c>
      <c r="D12" s="9">
        <v>54249</v>
      </c>
      <c r="E12" s="9">
        <v>50137</v>
      </c>
      <c r="F12" s="9">
        <v>47093</v>
      </c>
      <c r="G12" s="9">
        <v>44970</v>
      </c>
    </row>
    <row r="13" spans="1:8" x14ac:dyDescent="0.25">
      <c r="F13" s="114">
        <f>F12/E12-1</f>
        <v>-6.0713644613758277E-2</v>
      </c>
    </row>
  </sheetData>
  <mergeCells count="2">
    <mergeCell ref="A3:E3"/>
    <mergeCell ref="A4:G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22"/>
  <dimension ref="A1:H26"/>
  <sheetViews>
    <sheetView showGridLines="0" topLeftCell="C1" workbookViewId="0">
      <selection activeCell="A5" sqref="A5:B25"/>
    </sheetView>
  </sheetViews>
  <sheetFormatPr defaultRowHeight="15" x14ac:dyDescent="0.25"/>
  <cols>
    <col min="1" max="1" width="30.7109375" bestFit="1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1140</v>
      </c>
      <c r="H1" s="78" t="s">
        <v>1141</v>
      </c>
    </row>
    <row r="3" spans="1:8" x14ac:dyDescent="0.25">
      <c r="A3" s="350" t="str">
        <f>"Tabela Referente à "&amp;G1</f>
        <v>Tabela Referente à Figura 2.9</v>
      </c>
      <c r="B3" s="350"/>
    </row>
    <row r="4" spans="1:8" ht="33" customHeight="1" x14ac:dyDescent="0.25">
      <c r="A4" s="351" t="str">
        <f>H1</f>
        <v>Participação dos 20 principais aeroportos na quantidade de decolagens – mercado doméstico, 2018</v>
      </c>
      <c r="B4" s="351"/>
    </row>
    <row r="5" spans="1:8" x14ac:dyDescent="0.25">
      <c r="A5" s="1" t="s">
        <v>7</v>
      </c>
      <c r="B5" s="21" t="s">
        <v>571</v>
      </c>
    </row>
    <row r="6" spans="1:8" x14ac:dyDescent="0.25">
      <c r="A6" s="27" t="s">
        <v>545</v>
      </c>
      <c r="B6" s="10">
        <v>0.12228906359163683</v>
      </c>
      <c r="C6" s="78" t="s">
        <v>96</v>
      </c>
      <c r="D6" s="78" t="s">
        <v>96</v>
      </c>
      <c r="E6" s="78">
        <f>COUNTIF($C$6:$C$25,$D6)</f>
        <v>8</v>
      </c>
    </row>
    <row r="7" spans="1:8" x14ac:dyDescent="0.25">
      <c r="A7" s="28" t="s">
        <v>546</v>
      </c>
      <c r="B7" s="11">
        <v>0.10793614606391767</v>
      </c>
      <c r="C7" s="78" t="s">
        <v>96</v>
      </c>
      <c r="D7" s="78" t="s">
        <v>723</v>
      </c>
      <c r="E7" s="78">
        <f>COUNTIF($C$6:$C$25,$D7)</f>
        <v>3</v>
      </c>
    </row>
    <row r="8" spans="1:8" x14ac:dyDescent="0.25">
      <c r="A8" s="27" t="s">
        <v>547</v>
      </c>
      <c r="B8" s="10">
        <v>8.0123844473697761E-2</v>
      </c>
      <c r="C8" s="78" t="s">
        <v>723</v>
      </c>
      <c r="D8" s="78" t="s">
        <v>724</v>
      </c>
      <c r="E8" s="78">
        <f>COUNTIF($C$6:$C$25,$D8)</f>
        <v>4</v>
      </c>
    </row>
    <row r="9" spans="1:8" x14ac:dyDescent="0.25">
      <c r="A9" s="28" t="s">
        <v>549</v>
      </c>
      <c r="B9" s="11">
        <v>5.8147088600768268E-2</v>
      </c>
      <c r="C9" s="78" t="s">
        <v>96</v>
      </c>
      <c r="D9" s="78" t="s">
        <v>726</v>
      </c>
      <c r="E9" s="78">
        <f>COUNTIF($C$6:$C$25,$D9)</f>
        <v>3</v>
      </c>
    </row>
    <row r="10" spans="1:8" x14ac:dyDescent="0.25">
      <c r="A10" s="27" t="s">
        <v>548</v>
      </c>
      <c r="B10" s="10">
        <v>5.7600427523282122E-2</v>
      </c>
      <c r="C10" s="78" t="s">
        <v>96</v>
      </c>
      <c r="D10" s="78" t="s">
        <v>725</v>
      </c>
      <c r="E10" s="78">
        <f>COUNTIF($C$6:$C$25,$D10)</f>
        <v>2</v>
      </c>
    </row>
    <row r="11" spans="1:8" x14ac:dyDescent="0.25">
      <c r="A11" s="28" t="s">
        <v>550</v>
      </c>
      <c r="B11" s="11">
        <v>5.3646327442631231E-2</v>
      </c>
      <c r="C11" s="78" t="s">
        <v>96</v>
      </c>
      <c r="D11" s="78"/>
      <c r="E11" s="78"/>
    </row>
    <row r="12" spans="1:8" x14ac:dyDescent="0.25">
      <c r="A12" s="27" t="s">
        <v>551</v>
      </c>
      <c r="B12" s="10">
        <v>4.7325405522012302E-2</v>
      </c>
      <c r="C12" s="78" t="s">
        <v>96</v>
      </c>
      <c r="D12" s="78"/>
      <c r="E12" s="78"/>
    </row>
    <row r="13" spans="1:8" x14ac:dyDescent="0.25">
      <c r="A13" s="28" t="s">
        <v>555</v>
      </c>
      <c r="B13" s="11">
        <v>3.9800848672937338E-2</v>
      </c>
      <c r="C13" s="78" t="s">
        <v>724</v>
      </c>
      <c r="D13" s="78"/>
      <c r="E13" s="78"/>
    </row>
    <row r="14" spans="1:8" x14ac:dyDescent="0.25">
      <c r="A14" s="27" t="s">
        <v>554</v>
      </c>
      <c r="B14" s="10">
        <v>3.8522446198008979E-2</v>
      </c>
      <c r="C14" s="78" t="s">
        <v>726</v>
      </c>
      <c r="D14" s="78"/>
      <c r="E14" s="78"/>
    </row>
    <row r="15" spans="1:8" x14ac:dyDescent="0.25">
      <c r="A15" s="28" t="s">
        <v>552</v>
      </c>
      <c r="B15" s="11">
        <v>3.5651862692465147E-2</v>
      </c>
      <c r="C15" s="78" t="s">
        <v>726</v>
      </c>
      <c r="D15" s="78"/>
      <c r="E15" s="78"/>
    </row>
    <row r="16" spans="1:8" x14ac:dyDescent="0.25">
      <c r="A16" s="27" t="s">
        <v>553</v>
      </c>
      <c r="B16" s="10">
        <v>3.4938506757270227E-2</v>
      </c>
      <c r="C16" s="78" t="s">
        <v>724</v>
      </c>
      <c r="D16" s="78"/>
      <c r="E16" s="78"/>
    </row>
    <row r="17" spans="1:5" x14ac:dyDescent="0.25">
      <c r="A17" s="28" t="s">
        <v>556</v>
      </c>
      <c r="B17" s="11">
        <v>2.6565767249853531E-2</v>
      </c>
      <c r="C17" s="78" t="s">
        <v>724</v>
      </c>
      <c r="D17" s="78"/>
      <c r="E17" s="78"/>
    </row>
    <row r="18" spans="1:5" x14ac:dyDescent="0.25">
      <c r="A18" s="27" t="s">
        <v>559</v>
      </c>
      <c r="B18" s="10">
        <v>1.8712723475293618E-2</v>
      </c>
      <c r="C18" s="78" t="s">
        <v>725</v>
      </c>
      <c r="D18" s="78"/>
      <c r="E18" s="78"/>
    </row>
    <row r="19" spans="1:5" x14ac:dyDescent="0.25">
      <c r="A19" s="28" t="s">
        <v>562</v>
      </c>
      <c r="B19" s="11">
        <v>1.8185673557537918E-2</v>
      </c>
      <c r="C19" s="78" t="s">
        <v>723</v>
      </c>
      <c r="D19" s="78"/>
      <c r="E19" s="78"/>
    </row>
    <row r="20" spans="1:5" x14ac:dyDescent="0.25">
      <c r="A20" s="27" t="s">
        <v>558</v>
      </c>
      <c r="B20" s="10">
        <v>1.7050677688138435E-2</v>
      </c>
      <c r="C20" s="78" t="s">
        <v>723</v>
      </c>
      <c r="D20" s="78"/>
      <c r="E20" s="78"/>
    </row>
    <row r="21" spans="1:5" x14ac:dyDescent="0.25">
      <c r="A21" s="28" t="s">
        <v>557</v>
      </c>
      <c r="B21" s="11">
        <v>1.6632714846383335E-2</v>
      </c>
      <c r="C21" s="78" t="s">
        <v>96</v>
      </c>
      <c r="D21" s="78"/>
      <c r="E21" s="78"/>
    </row>
    <row r="22" spans="1:5" x14ac:dyDescent="0.25">
      <c r="A22" s="27" t="s">
        <v>560</v>
      </c>
      <c r="B22" s="10">
        <v>1.6251522929122818E-2</v>
      </c>
      <c r="C22" s="78" t="s">
        <v>725</v>
      </c>
      <c r="D22" s="78"/>
      <c r="E22" s="78"/>
    </row>
    <row r="23" spans="1:5" x14ac:dyDescent="0.25">
      <c r="A23" s="28" t="s">
        <v>561</v>
      </c>
      <c r="B23" s="11">
        <v>1.473165805001336E-2</v>
      </c>
      <c r="C23" s="78" t="s">
        <v>726</v>
      </c>
      <c r="D23" s="78"/>
      <c r="E23" s="78"/>
    </row>
    <row r="24" spans="1:5" x14ac:dyDescent="0.25">
      <c r="A24" s="27" t="s">
        <v>563</v>
      </c>
      <c r="B24" s="10">
        <v>1.0396366052101948E-2</v>
      </c>
      <c r="C24" s="78" t="s">
        <v>724</v>
      </c>
      <c r="D24" s="78"/>
      <c r="E24" s="78"/>
    </row>
    <row r="25" spans="1:5" x14ac:dyDescent="0.25">
      <c r="A25" s="28" t="s">
        <v>572</v>
      </c>
      <c r="B25" s="11">
        <v>9.8497049746158055E-3</v>
      </c>
      <c r="C25" s="78" t="s">
        <v>96</v>
      </c>
      <c r="D25" s="78"/>
      <c r="E25" s="78"/>
    </row>
    <row r="26" spans="1:5" x14ac:dyDescent="0.25">
      <c r="A26" s="1"/>
      <c r="B26" s="1"/>
    </row>
  </sheetData>
  <sortState xmlns:xlrd2="http://schemas.microsoft.com/office/spreadsheetml/2017/richdata2" ref="A6:B26">
    <sortCondition descending="1" ref="B6:B26"/>
  </sortState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Plan153"/>
  <dimension ref="A1:M33"/>
  <sheetViews>
    <sheetView showGridLines="0" topLeftCell="B1" zoomScaleNormal="100" workbookViewId="0">
      <selection activeCell="G30" sqref="G30"/>
    </sheetView>
  </sheetViews>
  <sheetFormatPr defaultRowHeight="15" x14ac:dyDescent="0.25"/>
  <cols>
    <col min="1" max="1" width="63.28515625" hidden="1" customWidth="1"/>
    <col min="2" max="2" width="62.42578125" bestFit="1" customWidth="1"/>
    <col min="3" max="3" width="16.85546875" bestFit="1" customWidth="1"/>
    <col min="4" max="7" width="15.28515625" bestFit="1" customWidth="1"/>
    <col min="8" max="8" width="15" customWidth="1"/>
    <col min="9" max="9" width="15.42578125" customWidth="1"/>
    <col min="10" max="10" width="9.42578125" customWidth="1"/>
    <col min="11" max="12" width="18" bestFit="1" customWidth="1"/>
    <col min="15" max="15" width="12.7109375" bestFit="1" customWidth="1"/>
    <col min="17" max="17" width="12.7109375" bestFit="1" customWidth="1"/>
  </cols>
  <sheetData>
    <row r="1" spans="1:13" x14ac:dyDescent="0.25">
      <c r="D1" s="78"/>
      <c r="E1" s="78"/>
      <c r="F1" s="78"/>
      <c r="G1" s="78" t="s">
        <v>436</v>
      </c>
      <c r="H1" s="78" t="s">
        <v>539</v>
      </c>
      <c r="I1" s="78" t="s">
        <v>486</v>
      </c>
    </row>
    <row r="3" spans="1:13" x14ac:dyDescent="0.25">
      <c r="B3" s="350" t="str">
        <f>"Tabela Referente à "&amp;G1</f>
        <v>Tabela Referente à Figura 7.13</v>
      </c>
      <c r="C3" s="350"/>
      <c r="D3" s="350"/>
      <c r="E3" s="350"/>
      <c r="F3" s="350"/>
    </row>
    <row r="4" spans="1:13" ht="15" customHeight="1" x14ac:dyDescent="0.25">
      <c r="B4" s="361" t="str">
        <f>H1</f>
        <v>Evolução das despesas e dos custos de voo da indústria – por tipo, 2009 a 2014</v>
      </c>
      <c r="C4" s="361"/>
      <c r="D4" s="361"/>
      <c r="E4" s="361"/>
      <c r="F4" s="361"/>
      <c r="G4" s="361"/>
      <c r="H4" s="361"/>
    </row>
    <row r="5" spans="1:13" x14ac:dyDescent="0.25">
      <c r="B5" s="94" t="s">
        <v>356</v>
      </c>
      <c r="C5" s="181" t="s">
        <v>44</v>
      </c>
      <c r="D5" s="181" t="s">
        <v>45</v>
      </c>
      <c r="E5" s="181" t="s">
        <v>3</v>
      </c>
      <c r="F5" s="181" t="s">
        <v>4</v>
      </c>
      <c r="G5" s="181" t="s">
        <v>395</v>
      </c>
      <c r="H5" s="181" t="s">
        <v>413</v>
      </c>
    </row>
    <row r="6" spans="1:13" x14ac:dyDescent="0.25">
      <c r="A6" s="92" t="s">
        <v>360</v>
      </c>
      <c r="B6" s="92" t="s">
        <v>504</v>
      </c>
      <c r="C6" s="95">
        <v>2057067.0419099999</v>
      </c>
      <c r="D6" s="95">
        <v>2545026.9096100004</v>
      </c>
      <c r="E6" s="95">
        <v>3388931.2044899995</v>
      </c>
      <c r="F6" s="95">
        <v>3385901.3564299997</v>
      </c>
      <c r="G6" s="95">
        <v>3029641.4830499999</v>
      </c>
      <c r="H6" s="95">
        <v>3188436.1862599999</v>
      </c>
    </row>
    <row r="7" spans="1:13" x14ac:dyDescent="0.25">
      <c r="A7" s="93" t="s">
        <v>361</v>
      </c>
      <c r="B7" s="93" t="s">
        <v>505</v>
      </c>
      <c r="C7" s="96">
        <v>5257245.4452899992</v>
      </c>
      <c r="D7" s="96">
        <v>6906099.3492999999</v>
      </c>
      <c r="E7" s="96">
        <v>9188868.4527999982</v>
      </c>
      <c r="F7" s="96">
        <v>11531391.211770002</v>
      </c>
      <c r="G7" s="96">
        <v>11794448.951650001</v>
      </c>
      <c r="H7" s="96">
        <v>12173972.64009</v>
      </c>
    </row>
    <row r="8" spans="1:13" x14ac:dyDescent="0.25">
      <c r="A8" s="92" t="s">
        <v>362</v>
      </c>
      <c r="B8" s="92" t="s">
        <v>506</v>
      </c>
      <c r="C8" s="95">
        <v>661172.3475899999</v>
      </c>
      <c r="D8" s="95">
        <v>921362.66254000005</v>
      </c>
      <c r="E8" s="95">
        <v>1120295.5853199998</v>
      </c>
      <c r="F8" s="95">
        <v>1181546.9638299998</v>
      </c>
      <c r="G8" s="95">
        <v>1175981.54889</v>
      </c>
      <c r="H8" s="95">
        <v>919208.75548999989</v>
      </c>
    </row>
    <row r="9" spans="1:13" x14ac:dyDescent="0.25">
      <c r="A9" s="93" t="s">
        <v>363</v>
      </c>
      <c r="B9" s="93" t="s">
        <v>507</v>
      </c>
      <c r="C9" s="96">
        <v>3388215.8270199997</v>
      </c>
      <c r="D9" s="96">
        <v>3049948.40606</v>
      </c>
      <c r="E9" s="96">
        <v>3289629.5940400003</v>
      </c>
      <c r="F9" s="96">
        <v>4136782.2065600003</v>
      </c>
      <c r="G9" s="96">
        <v>5339059.1141999997</v>
      </c>
      <c r="H9" s="96">
        <v>6547495.3399300016</v>
      </c>
    </row>
    <row r="10" spans="1:13" x14ac:dyDescent="0.25">
      <c r="A10" s="92" t="s">
        <v>364</v>
      </c>
      <c r="B10" s="92" t="s">
        <v>497</v>
      </c>
      <c r="C10" s="95">
        <v>319210.00878999993</v>
      </c>
      <c r="D10" s="95">
        <v>346821.35249000002</v>
      </c>
      <c r="E10" s="95">
        <v>485514.68640000006</v>
      </c>
      <c r="F10" s="95">
        <v>695165.99383000017</v>
      </c>
      <c r="G10" s="95">
        <v>798371.22345000005</v>
      </c>
      <c r="H10" s="95">
        <v>858265.96950999985</v>
      </c>
    </row>
    <row r="11" spans="1:13" x14ac:dyDescent="0.25">
      <c r="A11" s="93" t="s">
        <v>365</v>
      </c>
      <c r="B11" s="93" t="s">
        <v>498</v>
      </c>
      <c r="C11" s="96">
        <v>665146.33398999996</v>
      </c>
      <c r="D11" s="96">
        <v>729895.86184999987</v>
      </c>
      <c r="E11" s="96">
        <v>820056.36266999994</v>
      </c>
      <c r="F11" s="96">
        <v>1032331.66646</v>
      </c>
      <c r="G11" s="96">
        <v>1080424.6794099999</v>
      </c>
      <c r="H11" s="96">
        <v>1104405.4479499999</v>
      </c>
    </row>
    <row r="12" spans="1:13" x14ac:dyDescent="0.25">
      <c r="A12" s="178" t="s">
        <v>366</v>
      </c>
      <c r="B12" s="92" t="s">
        <v>366</v>
      </c>
      <c r="C12" s="95">
        <v>1454691.6750400001</v>
      </c>
      <c r="D12" s="95">
        <v>1977938.6361700003</v>
      </c>
      <c r="E12" s="95">
        <v>2322698.5417900002</v>
      </c>
      <c r="F12" s="95">
        <v>2643682.97805</v>
      </c>
      <c r="G12" s="95">
        <v>2779551.7174900007</v>
      </c>
      <c r="H12" s="95">
        <v>2915534.4689599988</v>
      </c>
    </row>
    <row r="13" spans="1:13" x14ac:dyDescent="0.25">
      <c r="A13" s="93" t="s">
        <v>367</v>
      </c>
      <c r="B13" s="93" t="s">
        <v>499</v>
      </c>
      <c r="C13" s="96">
        <v>3514612.9732900006</v>
      </c>
      <c r="D13" s="96">
        <v>4369640.3507200005</v>
      </c>
      <c r="E13" s="96">
        <v>4811509.2798499996</v>
      </c>
      <c r="F13" s="96">
        <v>5046803.1957399994</v>
      </c>
      <c r="G13" s="96">
        <v>5558181.0881600007</v>
      </c>
      <c r="H13" s="96">
        <v>5580844.8787000002</v>
      </c>
    </row>
    <row r="14" spans="1:13" x14ac:dyDescent="0.25">
      <c r="A14" s="92" t="s">
        <v>368</v>
      </c>
      <c r="B14" s="94" t="s">
        <v>104</v>
      </c>
      <c r="C14" s="97">
        <f>SUM(C6:C13)</f>
        <v>17317361.65292</v>
      </c>
      <c r="D14" s="97">
        <f t="shared" ref="D14:H14" si="0">SUM(D6:D13)</f>
        <v>20846733.52874</v>
      </c>
      <c r="E14" s="97">
        <f t="shared" si="0"/>
        <v>25427503.707359996</v>
      </c>
      <c r="F14" s="97">
        <f t="shared" si="0"/>
        <v>29653605.572670002</v>
      </c>
      <c r="G14" s="97">
        <f t="shared" si="0"/>
        <v>31555659.806300007</v>
      </c>
      <c r="H14" s="97">
        <f t="shared" si="0"/>
        <v>33288163.686889999</v>
      </c>
    </row>
    <row r="15" spans="1:13" x14ac:dyDescent="0.25">
      <c r="A15" s="93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</row>
    <row r="16" spans="1:13" x14ac:dyDescent="0.25">
      <c r="A16" s="92" t="s">
        <v>368</v>
      </c>
    </row>
    <row r="17" spans="2:11" x14ac:dyDescent="0.25">
      <c r="C17" s="342"/>
      <c r="D17" s="342"/>
      <c r="E17" s="342"/>
      <c r="F17" s="342"/>
      <c r="G17" s="342"/>
      <c r="H17" s="342"/>
    </row>
    <row r="18" spans="2:11" x14ac:dyDescent="0.25">
      <c r="B18" s="342"/>
      <c r="C18" s="342"/>
      <c r="D18" s="342"/>
      <c r="E18" s="342"/>
      <c r="F18" s="342"/>
      <c r="G18" s="342"/>
      <c r="H18" s="342"/>
      <c r="J18" s="66"/>
      <c r="K18" s="66"/>
    </row>
    <row r="19" spans="2:11" x14ac:dyDescent="0.25">
      <c r="B19" s="342"/>
      <c r="C19" s="342"/>
      <c r="D19" s="342"/>
      <c r="E19" s="342"/>
      <c r="F19" s="342"/>
      <c r="G19" s="342"/>
      <c r="H19" s="342"/>
      <c r="J19" s="66"/>
      <c r="K19" s="66"/>
    </row>
    <row r="20" spans="2:11" x14ac:dyDescent="0.25">
      <c r="B20" s="342"/>
      <c r="C20" s="342"/>
      <c r="D20" s="342"/>
      <c r="E20" s="342"/>
      <c r="F20" s="342"/>
      <c r="G20" s="342"/>
      <c r="H20" s="342"/>
      <c r="J20" s="66"/>
      <c r="K20" s="66"/>
    </row>
    <row r="21" spans="2:11" x14ac:dyDescent="0.25">
      <c r="B21" s="342"/>
      <c r="C21" s="342"/>
      <c r="D21" s="342"/>
      <c r="E21" s="342"/>
      <c r="F21" s="342"/>
      <c r="G21" s="342"/>
      <c r="H21" s="342"/>
      <c r="I21" s="66"/>
      <c r="J21" s="66"/>
      <c r="K21" s="66"/>
    </row>
    <row r="22" spans="2:11" x14ac:dyDescent="0.25">
      <c r="B22" s="342"/>
      <c r="C22" s="342"/>
      <c r="D22" s="342"/>
      <c r="E22" s="342"/>
      <c r="F22" s="342"/>
      <c r="G22" s="342"/>
      <c r="H22" s="342"/>
      <c r="I22" s="66"/>
      <c r="J22" s="66"/>
      <c r="K22" s="66"/>
    </row>
    <row r="23" spans="2:11" x14ac:dyDescent="0.25">
      <c r="B23" s="342"/>
      <c r="C23" s="342"/>
      <c r="D23" s="342"/>
      <c r="E23" s="342"/>
      <c r="F23" s="342"/>
      <c r="G23" s="342"/>
      <c r="H23" s="342"/>
      <c r="I23" s="66"/>
      <c r="J23" s="66"/>
      <c r="K23" s="66"/>
    </row>
    <row r="24" spans="2:11" x14ac:dyDescent="0.25">
      <c r="B24" s="342"/>
      <c r="C24" s="342"/>
      <c r="D24" s="342"/>
      <c r="E24" s="342"/>
      <c r="F24" s="342"/>
      <c r="G24" s="342"/>
      <c r="H24" s="342"/>
      <c r="I24" s="66"/>
      <c r="J24" s="66"/>
      <c r="K24" s="66"/>
    </row>
    <row r="25" spans="2:11" x14ac:dyDescent="0.25">
      <c r="B25" s="342"/>
      <c r="C25" s="342"/>
      <c r="D25" s="342"/>
      <c r="E25" s="342"/>
      <c r="F25" s="342"/>
      <c r="G25" s="342"/>
      <c r="H25" s="342"/>
      <c r="I25" s="66"/>
      <c r="J25" s="66"/>
      <c r="K25" s="66"/>
    </row>
    <row r="26" spans="2:11" x14ac:dyDescent="0.25">
      <c r="F26" s="66"/>
      <c r="G26" s="66"/>
      <c r="H26" s="66"/>
      <c r="I26" s="66"/>
      <c r="J26" s="66"/>
      <c r="K26" s="66"/>
    </row>
    <row r="27" spans="2:11" x14ac:dyDescent="0.25">
      <c r="F27" s="66"/>
      <c r="G27" s="66"/>
      <c r="H27" s="66"/>
      <c r="I27" s="66"/>
      <c r="J27" s="66"/>
      <c r="K27" s="66"/>
    </row>
    <row r="28" spans="2:11" x14ac:dyDescent="0.25">
      <c r="F28" s="66"/>
      <c r="G28" s="66"/>
      <c r="H28" s="66"/>
      <c r="I28" s="66"/>
      <c r="J28" s="66"/>
      <c r="K28" s="66"/>
    </row>
    <row r="29" spans="2:11" x14ac:dyDescent="0.25">
      <c r="F29" s="66"/>
      <c r="G29" s="66"/>
      <c r="H29" s="66"/>
      <c r="I29" s="66"/>
      <c r="J29" s="66"/>
      <c r="K29" s="66"/>
    </row>
    <row r="30" spans="2:11" x14ac:dyDescent="0.25">
      <c r="I30" s="66"/>
    </row>
    <row r="31" spans="2:11" x14ac:dyDescent="0.25">
      <c r="I31" s="66"/>
    </row>
    <row r="32" spans="2:11" x14ac:dyDescent="0.25">
      <c r="I32" s="66"/>
    </row>
    <row r="33" spans="9:9" x14ac:dyDescent="0.25">
      <c r="I33" s="66"/>
    </row>
  </sheetData>
  <mergeCells count="2">
    <mergeCell ref="B3:F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Plan154"/>
  <dimension ref="A1:H14"/>
  <sheetViews>
    <sheetView showGridLines="0" workbookViewId="0">
      <selection activeCell="C7" sqref="C7"/>
    </sheetView>
  </sheetViews>
  <sheetFormatPr defaultRowHeight="15" x14ac:dyDescent="0.25"/>
  <cols>
    <col min="1" max="1" width="57.140625" customWidth="1"/>
    <col min="2" max="7" width="11.28515625" customWidth="1"/>
    <col min="9" max="9" width="60.7109375" customWidth="1"/>
    <col min="10" max="10" width="11.5703125" bestFit="1" customWidth="1"/>
  </cols>
  <sheetData>
    <row r="1" spans="1:8" x14ac:dyDescent="0.25">
      <c r="C1" s="78"/>
      <c r="D1" s="78"/>
      <c r="E1" s="78"/>
      <c r="F1" s="78"/>
      <c r="G1" s="78" t="s">
        <v>437</v>
      </c>
      <c r="H1" s="78" t="s">
        <v>540</v>
      </c>
    </row>
    <row r="3" spans="1:8" x14ac:dyDescent="0.25">
      <c r="A3" s="350" t="str">
        <f>"Tabela Referente à "&amp;G1</f>
        <v>Tabela Referente à Figura 7.14</v>
      </c>
      <c r="B3" s="350"/>
      <c r="C3" s="350"/>
      <c r="D3" s="350"/>
      <c r="E3" s="350"/>
      <c r="F3" s="350"/>
      <c r="G3" s="350"/>
      <c r="H3" s="350"/>
    </row>
    <row r="4" spans="1:8" ht="15" customHeight="1" x14ac:dyDescent="0.25">
      <c r="A4" s="361" t="str">
        <f>H1</f>
        <v>Evolução da composição das despesas e dos custos de voo – por tipo, 2009 a 2014</v>
      </c>
      <c r="B4" s="361"/>
      <c r="C4" s="361"/>
      <c r="D4" s="361"/>
      <c r="E4" s="361"/>
      <c r="F4" s="361"/>
      <c r="G4" s="361"/>
    </row>
    <row r="5" spans="1:8" x14ac:dyDescent="0.25">
      <c r="A5" s="94" t="s">
        <v>356</v>
      </c>
      <c r="B5" s="181" t="s">
        <v>44</v>
      </c>
      <c r="C5" s="181" t="s">
        <v>45</v>
      </c>
      <c r="D5" s="181" t="s">
        <v>3</v>
      </c>
      <c r="E5" s="181" t="s">
        <v>4</v>
      </c>
      <c r="F5" s="181" t="s">
        <v>395</v>
      </c>
      <c r="G5" s="181" t="s">
        <v>413</v>
      </c>
    </row>
    <row r="6" spans="1:8" x14ac:dyDescent="0.25">
      <c r="A6" s="92" t="str">
        <f>'Fig 7.13'!B6</f>
        <v>Tripulação</v>
      </c>
      <c r="B6" s="179">
        <f>IF(('Fig 7.13'!C6/'Fig 7.13'!C$14)=0,"",('Fig 7.13'!C6/'Fig 7.13'!C$14))</f>
        <v>0.11878639963398487</v>
      </c>
      <c r="C6" s="179">
        <f>IF(('Fig 7.13'!D6/'Fig 7.13'!D$14)=0,"",('Fig 7.13'!D6/'Fig 7.13'!D$14))</f>
        <v>0.1220827668805447</v>
      </c>
      <c r="D6" s="179">
        <f>IF(('Fig 7.13'!E6/'Fig 7.13'!E$14)=0,"",('Fig 7.13'!E6/'Fig 7.13'!E$14))</f>
        <v>0.13327817167947448</v>
      </c>
      <c r="E6" s="179">
        <f>IF(('Fig 7.13'!F6/'Fig 7.13'!F$14)=0,"",('Fig 7.13'!F6/'Fig 7.13'!F$14))</f>
        <v>0.1141817762474924</v>
      </c>
      <c r="F6" s="179">
        <f>IF(('Fig 7.13'!G6/'Fig 7.13'!G$14)=0,"",('Fig 7.13'!G6/'Fig 7.13'!G$14))</f>
        <v>9.6009448119514201E-2</v>
      </c>
      <c r="G6" s="179">
        <f>IF(('Fig 7.13'!H6/'Fig 7.13'!H$14)=0,"",('Fig 7.13'!H6/'Fig 7.13'!H$14))</f>
        <v>9.5782879952483344E-2</v>
      </c>
      <c r="H6" s="78"/>
    </row>
    <row r="7" spans="1:8" x14ac:dyDescent="0.25">
      <c r="A7" s="93" t="str">
        <f>'Fig 7.13'!B7</f>
        <v>Combustívels</v>
      </c>
      <c r="B7" s="180">
        <f>IF(('Fig 7.13'!C7/'Fig 7.13'!C$14)=0,"",('Fig 7.13'!C7/'Fig 7.13'!C$14))</f>
        <v>0.3035823557108388</v>
      </c>
      <c r="C7" s="180">
        <f>IF(('Fig 7.13'!D7/'Fig 7.13'!D$14)=0,"",('Fig 7.13'!D7/'Fig 7.13'!D$14))</f>
        <v>0.33127968656475709</v>
      </c>
      <c r="D7" s="180">
        <f>IF(('Fig 7.13'!E7/'Fig 7.13'!E$14)=0,"",('Fig 7.13'!E7/'Fig 7.13'!E$14))</f>
        <v>0.36137516912996376</v>
      </c>
      <c r="E7" s="180">
        <f>IF(('Fig 7.13'!F7/'Fig 7.13'!F$14)=0,"",('Fig 7.13'!F7/'Fig 7.13'!F$14))</f>
        <v>0.3888697846037924</v>
      </c>
      <c r="F7" s="180">
        <f>IF(('Fig 7.13'!G7/'Fig 7.13'!G$14)=0,"",('Fig 7.13'!G7/'Fig 7.13'!G$14))</f>
        <v>0.37376651364758562</v>
      </c>
      <c r="G7" s="180">
        <f>IF(('Fig 7.13'!H7/'Fig 7.13'!H$14)=0,"",('Fig 7.13'!H7/'Fig 7.13'!H$14))</f>
        <v>0.36571475538870052</v>
      </c>
      <c r="H7" s="154">
        <f>G7/B7-1</f>
        <v>0.20466406729198261</v>
      </c>
    </row>
    <row r="8" spans="1:8" x14ac:dyDescent="0.25">
      <c r="A8" s="92" t="str">
        <f>'Fig 7.13'!B8</f>
        <v>Depreciação de Equipamento de Voo</v>
      </c>
      <c r="B8" s="179">
        <f>IF(('Fig 7.13'!C8/'Fig 7.13'!C$14)=0,"",('Fig 7.13'!C8/'Fig 7.13'!C$14))</f>
        <v>3.817973897187249E-2</v>
      </c>
      <c r="C8" s="179">
        <f>IF(('Fig 7.13'!D8/'Fig 7.13'!D$14)=0,"",('Fig 7.13'!D8/'Fig 7.13'!D$14))</f>
        <v>4.419697988990836E-2</v>
      </c>
      <c r="D8" s="179">
        <f>IF(('Fig 7.13'!E8/'Fig 7.13'!E$14)=0,"",('Fig 7.13'!E8/'Fig 7.13'!E$14))</f>
        <v>4.4058417932536967E-2</v>
      </c>
      <c r="E8" s="179">
        <f>IF(('Fig 7.13'!F8/'Fig 7.13'!F$14)=0,"",('Fig 7.13'!F8/'Fig 7.13'!F$14))</f>
        <v>3.9844967956239451E-2</v>
      </c>
      <c r="F8" s="179">
        <f>IF(('Fig 7.13'!G8/'Fig 7.13'!G$14)=0,"",('Fig 7.13'!G8/'Fig 7.13'!G$14))</f>
        <v>3.7266897796103704E-2</v>
      </c>
      <c r="G8" s="179">
        <f>IF(('Fig 7.13'!H8/'Fig 7.13'!H$14)=0,"",('Fig 7.13'!H8/'Fig 7.13'!H$14))</f>
        <v>2.7613681671843474E-2</v>
      </c>
      <c r="H8" s="78"/>
    </row>
    <row r="9" spans="1:8" x14ac:dyDescent="0.25">
      <c r="A9" s="93" t="str">
        <f>'Fig 7.13'!B9</f>
        <v>Arrendamento, Manutenção e Seguro de Aeronaves</v>
      </c>
      <c r="B9" s="180">
        <f>IF(('Fig 7.13'!C9/'Fig 7.13'!C$14)=0,"",('Fig 7.13'!C9/'Fig 7.13'!C$14))</f>
        <v>0.19565427430157578</v>
      </c>
      <c r="C9" s="180">
        <f>IF(('Fig 7.13'!D9/'Fig 7.13'!D$14)=0,"",('Fig 7.13'!D9/'Fig 7.13'!D$14))</f>
        <v>0.14630341975903513</v>
      </c>
      <c r="D9" s="180">
        <f>IF(('Fig 7.13'!E9/'Fig 7.13'!E$14)=0,"",('Fig 7.13'!E9/'Fig 7.13'!E$14))</f>
        <v>0.1293728881883052</v>
      </c>
      <c r="E9" s="180">
        <f>IF(('Fig 7.13'!F9/'Fig 7.13'!F$14)=0,"",('Fig 7.13'!F9/'Fig 7.13'!F$14))</f>
        <v>0.13950351489036569</v>
      </c>
      <c r="F9" s="180">
        <f>IF(('Fig 7.13'!G9/'Fig 7.13'!G$14)=0,"",('Fig 7.13'!G9/'Fig 7.13'!G$14))</f>
        <v>0.1691949763361966</v>
      </c>
      <c r="G9" s="180">
        <f>IF(('Fig 7.13'!H9/'Fig 7.13'!H$14)=0,"",('Fig 7.13'!H9/'Fig 7.13'!H$14))</f>
        <v>0.1966913946205037</v>
      </c>
    </row>
    <row r="10" spans="1:8" x14ac:dyDescent="0.25">
      <c r="A10" s="92" t="str">
        <f>'Fig 7.13'!B10</f>
        <v>Tarifas Aeroportuárias</v>
      </c>
      <c r="B10" s="179">
        <f>IF(('Fig 7.13'!C10/'Fig 7.13'!C$14)=0,"",('Fig 7.13'!C10/'Fig 7.13'!C$14))</f>
        <v>1.8432946957377641E-2</v>
      </c>
      <c r="C10" s="179">
        <f>IF(('Fig 7.13'!D10/'Fig 7.13'!D$14)=0,"",('Fig 7.13'!D10/'Fig 7.13'!D$14))</f>
        <v>1.663672402258419E-2</v>
      </c>
      <c r="D10" s="179">
        <f>IF(('Fig 7.13'!E10/'Fig 7.13'!E$14)=0,"",('Fig 7.13'!E10/'Fig 7.13'!E$14))</f>
        <v>1.909407592611884E-2</v>
      </c>
      <c r="E10" s="179">
        <f>IF(('Fig 7.13'!F10/'Fig 7.13'!F$14)=0,"",('Fig 7.13'!F10/'Fig 7.13'!F$14))</f>
        <v>2.3442882590665268E-2</v>
      </c>
      <c r="F10" s="179">
        <f>IF(('Fig 7.13'!G10/'Fig 7.13'!G$14)=0,"",('Fig 7.13'!G10/'Fig 7.13'!G$14))</f>
        <v>2.5300412932281875E-2</v>
      </c>
      <c r="G10" s="179">
        <f>IF(('Fig 7.13'!H10/'Fig 7.13'!H$14)=0,"",('Fig 7.13'!H10/'Fig 7.13'!H$14))</f>
        <v>2.5782917242984295E-2</v>
      </c>
    </row>
    <row r="11" spans="1:8" x14ac:dyDescent="0.25">
      <c r="A11" s="93" t="str">
        <f>'Fig 7.13'!B11</f>
        <v>Tarifas de Navegação Aérea</v>
      </c>
      <c r="B11" s="180">
        <f>IF(('Fig 7.13'!C11/'Fig 7.13'!C$14)=0,"",('Fig 7.13'!C11/'Fig 7.13'!C$14))</f>
        <v>3.8409218870695871E-2</v>
      </c>
      <c r="C11" s="180">
        <f>IF(('Fig 7.13'!D11/'Fig 7.13'!D$14)=0,"",('Fig 7.13'!D11/'Fig 7.13'!D$14))</f>
        <v>3.5012481012612416E-2</v>
      </c>
      <c r="D11" s="180">
        <f>IF(('Fig 7.13'!E11/'Fig 7.13'!E$14)=0,"",('Fig 7.13'!E11/'Fig 7.13'!E$14))</f>
        <v>3.2250761699137397E-2</v>
      </c>
      <c r="E11" s="180">
        <f>IF(('Fig 7.13'!F11/'Fig 7.13'!F$14)=0,"",('Fig 7.13'!F11/'Fig 7.13'!F$14))</f>
        <v>3.4813023459495926E-2</v>
      </c>
      <c r="F11" s="180">
        <f>IF(('Fig 7.13'!G11/'Fig 7.13'!G$14)=0,"",('Fig 7.13'!G11/'Fig 7.13'!G$14))</f>
        <v>3.423869714789788E-2</v>
      </c>
      <c r="G11" s="180">
        <f>IF(('Fig 7.13'!H11/'Fig 7.13'!H$14)=0,"",('Fig 7.13'!H11/'Fig 7.13'!H$14))</f>
        <v>3.3177121403814534E-2</v>
      </c>
    </row>
    <row r="12" spans="1:8" x14ac:dyDescent="0.25">
      <c r="A12" s="92" t="str">
        <f>'Fig 7.13'!B12</f>
        <v>Custos Indiretos</v>
      </c>
      <c r="B12" s="179">
        <f>IF(('Fig 7.13'!C12/'Fig 7.13'!C$14)=0,"",('Fig 7.13'!C12/'Fig 7.13'!C$14))</f>
        <v>8.4001922705974924E-2</v>
      </c>
      <c r="C12" s="179">
        <f>IF(('Fig 7.13'!D12/'Fig 7.13'!D$14)=0,"",('Fig 7.13'!D12/'Fig 7.13'!D$14))</f>
        <v>9.4880026812984797E-2</v>
      </c>
      <c r="D12" s="179">
        <f>IF(('Fig 7.13'!E12/'Fig 7.13'!E$14)=0,"",('Fig 7.13'!E12/'Fig 7.13'!E$14))</f>
        <v>9.1345913012990526E-2</v>
      </c>
      <c r="E12" s="179">
        <f>IF(('Fig 7.13'!F12/'Fig 7.13'!F$14)=0,"",('Fig 7.13'!F12/'Fig 7.13'!F$14))</f>
        <v>8.915215964450976E-2</v>
      </c>
      <c r="F12" s="179">
        <f>IF(('Fig 7.13'!G12/'Fig 7.13'!G$14)=0,"",('Fig 7.13'!G12/'Fig 7.13'!G$14))</f>
        <v>8.808409440816288E-2</v>
      </c>
      <c r="G12" s="179">
        <f>IF(('Fig 7.13'!H12/'Fig 7.13'!H$14)=0,"",('Fig 7.13'!H12/'Fig 7.13'!H$14))</f>
        <v>8.7584719192793287E-2</v>
      </c>
    </row>
    <row r="13" spans="1:8" x14ac:dyDescent="0.25">
      <c r="A13" s="93" t="str">
        <f>'Fig 7.13'!B13</f>
        <v>Despesas Operacionais dos Serviços Aéreos Públicos</v>
      </c>
      <c r="B13" s="180">
        <f>IF(('Fig 7.13'!C13/'Fig 7.13'!C$14)=0,"",('Fig 7.13'!C13/'Fig 7.13'!C$14))</f>
        <v>0.20295314284767954</v>
      </c>
      <c r="C13" s="180">
        <f>IF(('Fig 7.13'!D13/'Fig 7.13'!D$14)=0,"",('Fig 7.13'!D13/'Fig 7.13'!D$14))</f>
        <v>0.20960791505757337</v>
      </c>
      <c r="D13" s="180">
        <f>IF(('Fig 7.13'!E13/'Fig 7.13'!E$14)=0,"",('Fig 7.13'!E13/'Fig 7.13'!E$14))</f>
        <v>0.18922460243147293</v>
      </c>
      <c r="E13" s="180">
        <f>IF(('Fig 7.13'!F13/'Fig 7.13'!F$14)=0,"",('Fig 7.13'!F13/'Fig 7.13'!F$14))</f>
        <v>0.17019189060743911</v>
      </c>
      <c r="F13" s="180">
        <f>IF(('Fig 7.13'!G13/'Fig 7.13'!G$14)=0,"",('Fig 7.13'!G13/'Fig 7.13'!G$14))</f>
        <v>0.17613895961225706</v>
      </c>
      <c r="G13" s="180">
        <f>IF(('Fig 7.13'!H13/'Fig 7.13'!H$14)=0,"",('Fig 7.13'!H13/'Fig 7.13'!H$14))</f>
        <v>0.1676525305268769</v>
      </c>
    </row>
    <row r="14" spans="1:8" x14ac:dyDescent="0.25">
      <c r="A14" s="94" t="s">
        <v>104</v>
      </c>
      <c r="B14" s="98">
        <f>'Fig 7.13'!C14/'Fig 7.13'!C$14</f>
        <v>1</v>
      </c>
      <c r="C14" s="98">
        <f>'Fig 7.13'!D14/'Fig 7.13'!D$14</f>
        <v>1</v>
      </c>
      <c r="D14" s="98">
        <f>'Fig 7.13'!E14/'Fig 7.13'!E$14</f>
        <v>1</v>
      </c>
      <c r="E14" s="98">
        <f>'Fig 7.13'!F14/'Fig 7.13'!F$14</f>
        <v>1</v>
      </c>
      <c r="F14" s="98">
        <f>'Fig 7.13'!G14/'Fig 7.13'!G$14</f>
        <v>1</v>
      </c>
      <c r="G14" s="98">
        <f>'Fig 7.13'!H14/'Fig 7.13'!H$14</f>
        <v>1</v>
      </c>
    </row>
  </sheetData>
  <mergeCells count="2">
    <mergeCell ref="A3:H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Plan155"/>
  <dimension ref="A1:K39"/>
  <sheetViews>
    <sheetView showGridLines="0" workbookViewId="0">
      <selection activeCell="L28" sqref="L28:L29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6" width="10.42578125" customWidth="1"/>
    <col min="7" max="7" width="9.7109375" customWidth="1"/>
    <col min="8" max="8" width="8.5703125" customWidth="1"/>
    <col min="9" max="9" width="8.5703125" style="320" customWidth="1"/>
  </cols>
  <sheetData>
    <row r="1" spans="1:11" x14ac:dyDescent="0.25">
      <c r="C1" s="78"/>
      <c r="D1" s="78"/>
      <c r="E1" s="78"/>
      <c r="F1" s="78"/>
      <c r="G1" s="78" t="s">
        <v>746</v>
      </c>
      <c r="H1" s="78" t="s">
        <v>1385</v>
      </c>
      <c r="I1" s="78"/>
    </row>
    <row r="3" spans="1:11" x14ac:dyDescent="0.25">
      <c r="A3" s="350" t="str">
        <f>"Tabela Referente à "&amp;G1</f>
        <v>Tabela Referente à Figura 7.15</v>
      </c>
      <c r="B3" s="350"/>
      <c r="C3" s="350"/>
      <c r="D3" s="350"/>
      <c r="E3" s="350"/>
      <c r="F3" s="350"/>
      <c r="G3" s="350"/>
      <c r="H3" s="350"/>
      <c r="I3" s="162"/>
    </row>
    <row r="4" spans="1:11" ht="14.25" customHeight="1" x14ac:dyDescent="0.25">
      <c r="A4" s="361" t="str">
        <f>H1&amp;" (Bilhões de R$)"</f>
        <v>Evolução dos custos e despesas de voo por empresa, 2015 a 2018 (Bilhões de R$)</v>
      </c>
      <c r="B4" s="361"/>
      <c r="C4" s="361"/>
      <c r="D4" s="361"/>
      <c r="E4" s="361"/>
      <c r="F4" s="361"/>
      <c r="G4" s="361"/>
      <c r="H4" s="361"/>
      <c r="I4" s="209"/>
    </row>
    <row r="5" spans="1:11" x14ac:dyDescent="0.25">
      <c r="A5" s="94" t="s">
        <v>7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102</v>
      </c>
      <c r="G5" s="91" t="s">
        <v>6</v>
      </c>
      <c r="H5" s="91" t="s">
        <v>10</v>
      </c>
      <c r="I5" s="209"/>
    </row>
    <row r="6" spans="1:11" s="327" customFormat="1" x14ac:dyDescent="0.25">
      <c r="A6" s="328">
        <v>2009</v>
      </c>
      <c r="B6" s="164">
        <v>9.4200626499200002</v>
      </c>
      <c r="C6" s="164">
        <v>5.5409747276200001</v>
      </c>
      <c r="D6" s="164">
        <v>0.51478265472000007</v>
      </c>
      <c r="E6" s="164">
        <v>0.49082169345000004</v>
      </c>
      <c r="F6" s="164">
        <v>0.18997279430999994</v>
      </c>
      <c r="G6" s="164">
        <v>1.1607471328999992</v>
      </c>
      <c r="H6" s="164">
        <v>17.317361652919999</v>
      </c>
      <c r="I6" s="209"/>
      <c r="J6" s="114"/>
    </row>
    <row r="7" spans="1:11" s="327" customFormat="1" x14ac:dyDescent="0.25">
      <c r="A7" s="329">
        <v>2010</v>
      </c>
      <c r="B7" s="165">
        <v>10.758784300309998</v>
      </c>
      <c r="C7" s="165">
        <v>6.3177487379999997</v>
      </c>
      <c r="D7" s="165">
        <v>0.92085988700999999</v>
      </c>
      <c r="E7" s="165">
        <v>0.63670302726000005</v>
      </c>
      <c r="F7" s="165">
        <v>0.53809511356000006</v>
      </c>
      <c r="G7" s="165">
        <v>1.6745424625900043</v>
      </c>
      <c r="H7" s="165">
        <v>20.846733528730002</v>
      </c>
      <c r="I7" s="209"/>
      <c r="J7" s="114"/>
    </row>
    <row r="8" spans="1:11" s="327" customFormat="1" x14ac:dyDescent="0.25">
      <c r="A8" s="328">
        <v>2011</v>
      </c>
      <c r="B8" s="164">
        <v>11.96518548325</v>
      </c>
      <c r="C8" s="164">
        <v>7.4171044305200011</v>
      </c>
      <c r="D8" s="164">
        <v>1.6968511368199999</v>
      </c>
      <c r="E8" s="164">
        <v>0.87406037049000018</v>
      </c>
      <c r="F8" s="164">
        <v>0.65109497863999999</v>
      </c>
      <c r="G8" s="164">
        <v>2.8232073076400006</v>
      </c>
      <c r="H8" s="164">
        <v>25.427503707360003</v>
      </c>
      <c r="I8" s="209"/>
      <c r="J8" s="114"/>
    </row>
    <row r="9" spans="1:11" s="327" customFormat="1" x14ac:dyDescent="0.25">
      <c r="A9" s="329">
        <v>2012</v>
      </c>
      <c r="B9" s="165">
        <v>14.004755529839999</v>
      </c>
      <c r="C9" s="165">
        <v>7.8727645652299998</v>
      </c>
      <c r="D9" s="165">
        <v>2.5985629659099998</v>
      </c>
      <c r="E9" s="165">
        <v>1.37046551689</v>
      </c>
      <c r="F9" s="165">
        <v>0.85250128315000007</v>
      </c>
      <c r="G9" s="165">
        <v>2.9545557116499985</v>
      </c>
      <c r="H9" s="165">
        <v>29.653605572669996</v>
      </c>
      <c r="I9" s="209"/>
      <c r="J9" s="114"/>
    </row>
    <row r="10" spans="1:11" s="327" customFormat="1" x14ac:dyDescent="0.25">
      <c r="A10" s="328">
        <v>2013</v>
      </c>
      <c r="B10" s="164">
        <v>14.61279642323</v>
      </c>
      <c r="C10" s="164">
        <v>8.7452608569700008</v>
      </c>
      <c r="D10" s="164">
        <v>3.43050338245</v>
      </c>
      <c r="E10" s="164">
        <v>1.74592074458</v>
      </c>
      <c r="F10" s="164">
        <v>1.0382639010000001</v>
      </c>
      <c r="G10" s="164">
        <v>1.9829144980700022</v>
      </c>
      <c r="H10" s="164">
        <v>31.555659806300003</v>
      </c>
      <c r="I10" s="209"/>
      <c r="J10" s="114"/>
    </row>
    <row r="11" spans="1:11" x14ac:dyDescent="0.25">
      <c r="A11" s="329">
        <v>2014</v>
      </c>
      <c r="B11" s="165">
        <v>14.962691500889996</v>
      </c>
      <c r="C11" s="165">
        <v>9.5856633111299985</v>
      </c>
      <c r="D11" s="165">
        <v>5.0157849276999995</v>
      </c>
      <c r="E11" s="165">
        <v>2.1823773414000001</v>
      </c>
      <c r="F11" s="165">
        <v>1.0145445655000001</v>
      </c>
      <c r="G11" s="165">
        <v>0.52710204027000174</v>
      </c>
      <c r="H11" s="165">
        <v>33.288163686889995</v>
      </c>
      <c r="I11" s="209"/>
      <c r="J11" s="114"/>
    </row>
    <row r="12" spans="1:11" x14ac:dyDescent="0.25">
      <c r="A12" s="328">
        <v>2015</v>
      </c>
      <c r="B12" s="164">
        <v>14.69444762196</v>
      </c>
      <c r="C12" s="164">
        <v>9.6936872672999979</v>
      </c>
      <c r="D12" s="164">
        <v>6.6285335349099999</v>
      </c>
      <c r="E12" s="164">
        <v>2.4949460000000001</v>
      </c>
      <c r="F12" s="164">
        <v>1.0369148216399999</v>
      </c>
      <c r="G12" s="164">
        <v>0.42603321906000247</v>
      </c>
      <c r="H12" s="164">
        <v>34.974562464870004</v>
      </c>
      <c r="I12" s="209"/>
      <c r="J12" s="114"/>
    </row>
    <row r="13" spans="1:11" x14ac:dyDescent="0.25">
      <c r="A13" s="329">
        <v>2016</v>
      </c>
      <c r="B13" s="165">
        <v>14.62968183982</v>
      </c>
      <c r="C13" s="165">
        <v>8.7049039255799983</v>
      </c>
      <c r="D13" s="165">
        <v>6.5541755589999999</v>
      </c>
      <c r="E13" s="165">
        <v>2.8015129999999999</v>
      </c>
      <c r="F13" s="165">
        <v>0.90891183048000002</v>
      </c>
      <c r="G13" s="165">
        <v>0.37715698769999761</v>
      </c>
      <c r="H13" s="165">
        <v>33.976343142579999</v>
      </c>
      <c r="I13" s="209"/>
      <c r="J13" s="114"/>
    </row>
    <row r="14" spans="1:11" x14ac:dyDescent="0.25">
      <c r="A14" s="328">
        <v>2017</v>
      </c>
      <c r="B14" s="164">
        <v>14.06064682023</v>
      </c>
      <c r="C14" s="164">
        <v>9.1609930820500001</v>
      </c>
      <c r="D14" s="164">
        <v>6.9649145937099997</v>
      </c>
      <c r="E14" s="164">
        <v>3.5310813300000001</v>
      </c>
      <c r="F14" s="164">
        <v>0.90029099966000004</v>
      </c>
      <c r="G14" s="164">
        <v>0</v>
      </c>
      <c r="H14" s="164">
        <v>34.617926825650002</v>
      </c>
      <c r="I14" s="209"/>
      <c r="J14" s="114"/>
    </row>
    <row r="15" spans="1:11" x14ac:dyDescent="0.25">
      <c r="A15" s="329">
        <v>2018</v>
      </c>
      <c r="B15" s="165">
        <v>16.563174697970002</v>
      </c>
      <c r="C15" s="165">
        <v>10.497418951670001</v>
      </c>
      <c r="D15" s="165">
        <v>8.6167709569099991</v>
      </c>
      <c r="E15" s="165">
        <v>4.9804909570000007</v>
      </c>
      <c r="F15" s="165">
        <v>1.2092703871699999</v>
      </c>
      <c r="G15" s="165">
        <v>0</v>
      </c>
      <c r="H15" s="165">
        <v>41.867125950720002</v>
      </c>
      <c r="I15" s="209"/>
      <c r="J15" s="114"/>
    </row>
    <row r="16" spans="1:11" x14ac:dyDescent="0.25">
      <c r="A16" s="99"/>
      <c r="B16" s="99"/>
      <c r="C16" s="99"/>
      <c r="D16" s="99"/>
      <c r="E16" s="99"/>
      <c r="F16" s="99"/>
      <c r="G16" s="99"/>
      <c r="H16" s="99"/>
      <c r="I16" s="209"/>
      <c r="J16" s="209"/>
      <c r="K16" s="114"/>
    </row>
    <row r="17" spans="1:11" x14ac:dyDescent="0.25">
      <c r="A17" t="s">
        <v>435</v>
      </c>
      <c r="B17" s="209"/>
      <c r="C17" s="209"/>
      <c r="D17" s="209"/>
      <c r="E17" s="209"/>
      <c r="F17" s="209"/>
      <c r="G17" s="209"/>
      <c r="H17" s="209"/>
      <c r="J17" s="114"/>
      <c r="K17" s="114"/>
    </row>
    <row r="18" spans="1:11" x14ac:dyDescent="0.25">
      <c r="F18" s="209"/>
      <c r="G18" s="148"/>
      <c r="J18" s="114"/>
      <c r="K18" s="114"/>
    </row>
    <row r="19" spans="1:11" x14ac:dyDescent="0.25">
      <c r="B19" s="73"/>
      <c r="C19" s="73"/>
      <c r="D19" s="73"/>
      <c r="E19" s="73"/>
      <c r="F19" s="73"/>
      <c r="G19" s="148"/>
      <c r="J19" s="114"/>
      <c r="K19" s="114"/>
    </row>
    <row r="20" spans="1:11" x14ac:dyDescent="0.25">
      <c r="A20" s="327"/>
      <c r="B20" s="73"/>
      <c r="C20" s="73"/>
      <c r="D20" s="73"/>
      <c r="E20" s="73"/>
      <c r="F20" s="73"/>
      <c r="G20" s="148"/>
      <c r="J20" s="114"/>
      <c r="K20" s="114"/>
    </row>
    <row r="21" spans="1:11" x14ac:dyDescent="0.25">
      <c r="A21" s="327"/>
      <c r="B21" s="73"/>
      <c r="C21" s="73"/>
      <c r="D21" s="73"/>
      <c r="E21" s="73"/>
      <c r="F21" s="73"/>
      <c r="G21" s="148"/>
      <c r="J21" s="78"/>
      <c r="K21" s="114"/>
    </row>
    <row r="22" spans="1:11" x14ac:dyDescent="0.25">
      <c r="A22" s="327"/>
      <c r="B22" s="73"/>
      <c r="C22" s="73"/>
      <c r="D22" s="73"/>
      <c r="E22" s="73"/>
      <c r="F22" s="73"/>
      <c r="G22" s="148"/>
      <c r="K22" s="114"/>
    </row>
    <row r="23" spans="1:11" x14ac:dyDescent="0.25">
      <c r="A23" s="327"/>
      <c r="B23" s="73"/>
      <c r="C23" s="73"/>
      <c r="D23" s="73"/>
      <c r="E23" s="73"/>
      <c r="F23" s="73"/>
      <c r="G23" s="148"/>
    </row>
    <row r="24" spans="1:11" x14ac:dyDescent="0.25">
      <c r="A24" s="327"/>
      <c r="B24" s="73"/>
      <c r="C24" s="73"/>
      <c r="D24" s="73"/>
      <c r="E24" s="73"/>
      <c r="F24" s="73"/>
      <c r="G24" s="148"/>
    </row>
    <row r="25" spans="1:11" x14ac:dyDescent="0.25">
      <c r="A25" s="327"/>
      <c r="B25" s="73"/>
      <c r="C25" s="73"/>
      <c r="D25" s="73"/>
      <c r="E25" s="73"/>
      <c r="F25" s="73"/>
      <c r="G25" s="148"/>
    </row>
    <row r="26" spans="1:11" x14ac:dyDescent="0.25">
      <c r="A26" s="327"/>
      <c r="B26" s="73"/>
      <c r="C26" s="73"/>
      <c r="D26" s="73"/>
      <c r="E26" s="73"/>
      <c r="F26" s="73"/>
      <c r="G26" s="148"/>
    </row>
    <row r="27" spans="1:11" x14ac:dyDescent="0.25">
      <c r="A27" s="327"/>
      <c r="B27" s="73"/>
      <c r="C27" s="73"/>
      <c r="D27" s="73"/>
      <c r="E27" s="73"/>
      <c r="F27" s="73"/>
      <c r="G27" s="148"/>
    </row>
    <row r="28" spans="1:11" x14ac:dyDescent="0.25">
      <c r="A28" s="327"/>
      <c r="B28" s="73"/>
      <c r="C28" s="73"/>
      <c r="D28" s="73"/>
      <c r="E28" s="73"/>
      <c r="F28" s="73"/>
      <c r="G28" s="148"/>
    </row>
    <row r="29" spans="1:11" x14ac:dyDescent="0.25">
      <c r="A29" s="327"/>
      <c r="B29" s="327"/>
      <c r="C29" s="327"/>
      <c r="D29" s="327"/>
      <c r="E29" s="327"/>
      <c r="F29" s="327"/>
      <c r="G29" s="148"/>
    </row>
    <row r="30" spans="1:11" x14ac:dyDescent="0.25">
      <c r="G30" s="11"/>
    </row>
    <row r="31" spans="1:11" x14ac:dyDescent="0.25">
      <c r="G31" s="11"/>
    </row>
    <row r="32" spans="1:11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  <row r="36" spans="7:7" x14ac:dyDescent="0.25">
      <c r="G36" s="11"/>
    </row>
    <row r="37" spans="7:7" x14ac:dyDescent="0.25">
      <c r="G37" s="11"/>
    </row>
    <row r="38" spans="7:7" x14ac:dyDescent="0.25">
      <c r="G38" s="11"/>
    </row>
    <row r="39" spans="7:7" x14ac:dyDescent="0.25">
      <c r="G39" s="11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drawing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Plan156"/>
  <dimension ref="A1:O15"/>
  <sheetViews>
    <sheetView showGridLines="0" workbookViewId="0">
      <selection activeCell="F13" sqref="F13"/>
    </sheetView>
  </sheetViews>
  <sheetFormatPr defaultRowHeight="15" x14ac:dyDescent="0.25"/>
  <cols>
    <col min="1" max="1" width="5.42578125" customWidth="1"/>
    <col min="2" max="3" width="12.28515625" customWidth="1"/>
    <col min="4" max="4" width="8.28515625" bestFit="1" customWidth="1"/>
    <col min="5" max="5" width="13.28515625" bestFit="1" customWidth="1"/>
    <col min="6" max="6" width="12.28515625" customWidth="1"/>
    <col min="7" max="7" width="12.28515625" style="228" customWidth="1"/>
    <col min="8" max="8" width="9.85546875" bestFit="1" customWidth="1"/>
    <col min="9" max="9" width="13.42578125" customWidth="1"/>
  </cols>
  <sheetData>
    <row r="1" spans="1:15" x14ac:dyDescent="0.25">
      <c r="C1" s="78"/>
      <c r="D1" s="78"/>
      <c r="E1" s="78"/>
      <c r="F1" s="78"/>
      <c r="G1" s="78" t="s">
        <v>432</v>
      </c>
      <c r="H1" s="78" t="s">
        <v>1386</v>
      </c>
    </row>
    <row r="3" spans="1:15" x14ac:dyDescent="0.25">
      <c r="A3" s="350" t="str">
        <f>"Tabela Referente à "&amp;G1</f>
        <v>Tabela Referente à Figura 7.16</v>
      </c>
      <c r="B3" s="350"/>
      <c r="C3" s="350"/>
      <c r="D3" s="350"/>
      <c r="E3" s="350"/>
      <c r="F3" s="350"/>
      <c r="G3" s="227"/>
    </row>
    <row r="4" spans="1:15" ht="15" customHeight="1" x14ac:dyDescent="0.25">
      <c r="A4" s="362" t="str">
        <f>H1</f>
        <v>Resultado Financeiro (R$ 1.000,00) da indústria, 2009 a 2018</v>
      </c>
      <c r="B4" s="362"/>
      <c r="C4" s="362"/>
      <c r="D4" s="362"/>
      <c r="E4" s="362"/>
      <c r="F4" s="362"/>
      <c r="G4" s="362"/>
      <c r="H4" s="362"/>
    </row>
    <row r="5" spans="1:15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6</v>
      </c>
      <c r="H5" s="91" t="s">
        <v>10</v>
      </c>
    </row>
    <row r="6" spans="1:15" x14ac:dyDescent="0.25">
      <c r="A6" s="134" t="s">
        <v>44</v>
      </c>
      <c r="B6" s="89">
        <v>1693582</v>
      </c>
      <c r="C6" s="89">
        <v>169135</v>
      </c>
      <c r="D6" s="89">
        <v>-11584</v>
      </c>
      <c r="E6" s="89">
        <v>-2114.84357</v>
      </c>
      <c r="F6" s="89">
        <v>8687</v>
      </c>
      <c r="G6" s="89">
        <v>17999</v>
      </c>
      <c r="H6" s="89">
        <f t="shared" ref="H6:H14" si="0">SUM(B6:G6)</f>
        <v>1875704.15643</v>
      </c>
    </row>
    <row r="7" spans="1:15" x14ac:dyDescent="0.25">
      <c r="A7" s="176" t="s">
        <v>45</v>
      </c>
      <c r="B7" s="87">
        <v>207626</v>
      </c>
      <c r="C7" s="87">
        <v>-240835</v>
      </c>
      <c r="D7" s="87">
        <v>-44368</v>
      </c>
      <c r="E7" s="87">
        <v>-23724</v>
      </c>
      <c r="F7" s="87">
        <v>3425</v>
      </c>
      <c r="G7" s="87">
        <v>-83919</v>
      </c>
      <c r="H7" s="87">
        <f t="shared" si="0"/>
        <v>-181795</v>
      </c>
    </row>
    <row r="8" spans="1:15" x14ac:dyDescent="0.25">
      <c r="A8" s="134" t="s">
        <v>3</v>
      </c>
      <c r="B8" s="89">
        <v>-976571</v>
      </c>
      <c r="C8" s="89">
        <v>-499940</v>
      </c>
      <c r="D8" s="89">
        <v>-76847</v>
      </c>
      <c r="E8" s="89">
        <v>-48325</v>
      </c>
      <c r="F8" s="89">
        <v>1270</v>
      </c>
      <c r="G8" s="89">
        <v>-155215</v>
      </c>
      <c r="H8" s="89">
        <f t="shared" si="0"/>
        <v>-1755628</v>
      </c>
    </row>
    <row r="9" spans="1:15" x14ac:dyDescent="0.25">
      <c r="A9" s="176" t="s">
        <v>4</v>
      </c>
      <c r="B9" s="87">
        <v>-917795</v>
      </c>
      <c r="C9" s="87">
        <v>-439153</v>
      </c>
      <c r="D9" s="87">
        <v>-95346</v>
      </c>
      <c r="E9" s="87">
        <v>-51437</v>
      </c>
      <c r="F9" s="87">
        <v>-2383</v>
      </c>
      <c r="G9" s="87">
        <v>-165934</v>
      </c>
      <c r="H9" s="87">
        <f t="shared" si="0"/>
        <v>-1672048</v>
      </c>
    </row>
    <row r="10" spans="1:15" x14ac:dyDescent="0.25">
      <c r="A10" s="134" t="s">
        <v>395</v>
      </c>
      <c r="B10" s="89">
        <v>-1197546</v>
      </c>
      <c r="C10" s="89">
        <v>-734546</v>
      </c>
      <c r="D10" s="89">
        <v>-143300</v>
      </c>
      <c r="E10" s="89">
        <v>-87309</v>
      </c>
      <c r="F10" s="89">
        <v>-10033</v>
      </c>
      <c r="G10" s="89">
        <v>-107425</v>
      </c>
      <c r="H10" s="89">
        <f t="shared" si="0"/>
        <v>-2280159</v>
      </c>
    </row>
    <row r="11" spans="1:15" x14ac:dyDescent="0.25">
      <c r="A11" s="176" t="s">
        <v>413</v>
      </c>
      <c r="B11" s="87">
        <v>-637572</v>
      </c>
      <c r="C11" s="87">
        <v>-1175227</v>
      </c>
      <c r="D11" s="87">
        <v>-269929</v>
      </c>
      <c r="E11" s="87">
        <v>-141630</v>
      </c>
      <c r="F11" s="87">
        <v>8242</v>
      </c>
      <c r="G11" s="87">
        <v>0</v>
      </c>
      <c r="H11" s="87">
        <f t="shared" si="0"/>
        <v>-2216116</v>
      </c>
    </row>
    <row r="12" spans="1:15" x14ac:dyDescent="0.25">
      <c r="A12" s="134" t="s">
        <v>489</v>
      </c>
      <c r="B12" s="89">
        <v>-1755766.9807799999</v>
      </c>
      <c r="C12" s="89">
        <v>-2308734.8139999998</v>
      </c>
      <c r="D12" s="89">
        <v>-492457.56549000001</v>
      </c>
      <c r="E12" s="89">
        <v>-139757.152</v>
      </c>
      <c r="F12" s="89">
        <v>-44634.852340000005</v>
      </c>
      <c r="G12" s="89">
        <v>0</v>
      </c>
      <c r="H12" s="89">
        <f t="shared" si="0"/>
        <v>-4741351.3646099996</v>
      </c>
      <c r="L12" s="321"/>
      <c r="M12" s="321"/>
      <c r="N12" s="321"/>
      <c r="O12" s="321"/>
    </row>
    <row r="13" spans="1:15" x14ac:dyDescent="0.25">
      <c r="A13" s="176" t="s">
        <v>524</v>
      </c>
      <c r="B13" s="87">
        <v>742896.07095000008</v>
      </c>
      <c r="C13" s="87">
        <v>-197382.17902000001</v>
      </c>
      <c r="D13" s="87">
        <v>-672470.31380999996</v>
      </c>
      <c r="E13" s="87">
        <v>-231065</v>
      </c>
      <c r="F13" s="87">
        <v>9101.8489300000001</v>
      </c>
      <c r="G13" s="87">
        <v>0</v>
      </c>
      <c r="H13" s="87">
        <f t="shared" si="0"/>
        <v>-348919.57294999994</v>
      </c>
      <c r="I13" s="114">
        <f>H13/H12-1</f>
        <v>-0.92640925632418292</v>
      </c>
    </row>
    <row r="14" spans="1:15" x14ac:dyDescent="0.25">
      <c r="A14" s="134" t="s">
        <v>718</v>
      </c>
      <c r="B14" s="89">
        <v>-115566.03170000001</v>
      </c>
      <c r="C14" s="89">
        <v>-793738.31628000003</v>
      </c>
      <c r="D14" s="89">
        <v>-493380.31279</v>
      </c>
      <c r="E14" s="89">
        <v>-178622.07999999999</v>
      </c>
      <c r="F14" s="89">
        <v>-13685.745359999999</v>
      </c>
      <c r="G14" s="89">
        <v>0</v>
      </c>
      <c r="H14" s="89">
        <f t="shared" si="0"/>
        <v>-1594992.4861300001</v>
      </c>
      <c r="I14" s="114">
        <f>H14/H13-1</f>
        <v>3.5712324838783465</v>
      </c>
    </row>
    <row r="15" spans="1:15" x14ac:dyDescent="0.25">
      <c r="A15" s="176" t="s">
        <v>877</v>
      </c>
      <c r="B15" s="87">
        <v>-388545.65376999998</v>
      </c>
      <c r="C15" s="87">
        <v>-1339693.4203699999</v>
      </c>
      <c r="D15" s="87">
        <v>-388100.95579000004</v>
      </c>
      <c r="E15" s="87">
        <v>-82543.460000000006</v>
      </c>
      <c r="F15" s="87">
        <v>-36272.59431</v>
      </c>
      <c r="G15" s="87">
        <v>0</v>
      </c>
      <c r="H15" s="87">
        <f>SUM(B15:G15)</f>
        <v>-2235156.0842400002</v>
      </c>
    </row>
  </sheetData>
  <mergeCells count="2">
    <mergeCell ref="A3:F3"/>
    <mergeCell ref="A4:H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Plan157"/>
  <dimension ref="A1:H15"/>
  <sheetViews>
    <sheetView showGridLines="0" workbookViewId="0">
      <selection activeCell="F15" sqref="F15"/>
    </sheetView>
  </sheetViews>
  <sheetFormatPr defaultRowHeight="15" x14ac:dyDescent="0.25"/>
  <cols>
    <col min="1" max="1" width="6" customWidth="1"/>
    <col min="2" max="6" width="12.28515625" customWidth="1"/>
    <col min="7" max="7" width="18" bestFit="1" customWidth="1"/>
    <col min="8" max="8" width="18" customWidth="1"/>
  </cols>
  <sheetData>
    <row r="1" spans="1:8" x14ac:dyDescent="0.25">
      <c r="C1" s="78"/>
      <c r="D1" s="78"/>
      <c r="G1" s="78" t="s">
        <v>438</v>
      </c>
      <c r="H1" s="78" t="s">
        <v>1387</v>
      </c>
    </row>
    <row r="3" spans="1:8" x14ac:dyDescent="0.25">
      <c r="A3" s="350" t="str">
        <f>"Tabela Referente à "&amp;G1</f>
        <v>Tabela Referente à Figura 7.17</v>
      </c>
      <c r="B3" s="350"/>
      <c r="C3" s="350"/>
      <c r="D3" s="350"/>
      <c r="E3" s="350"/>
      <c r="F3" s="350"/>
    </row>
    <row r="4" spans="1:8" ht="15" customHeight="1" x14ac:dyDescent="0.25">
      <c r="A4" s="362" t="str">
        <f>H1</f>
        <v>Resultado Financeiro (R$ 1.000,00) por empresa, 2015 a 2018</v>
      </c>
      <c r="B4" s="362"/>
      <c r="C4" s="362"/>
      <c r="D4" s="362"/>
      <c r="E4" s="362"/>
      <c r="F4" s="362"/>
      <c r="G4" s="362"/>
      <c r="H4" s="362"/>
    </row>
    <row r="5" spans="1:8" x14ac:dyDescent="0.25">
      <c r="A5" s="86" t="s">
        <v>20</v>
      </c>
      <c r="B5" s="91" t="str">
        <f>'Fig 7.16'!B5</f>
        <v>Latam</v>
      </c>
      <c r="C5" s="91" t="str">
        <f>'Fig 7.16'!C5</f>
        <v>Gol</v>
      </c>
      <c r="D5" s="91" t="str">
        <f>'Fig 7.16'!D5</f>
        <v>Azul</v>
      </c>
      <c r="E5" s="91" t="str">
        <f>'Fig 7.16'!E5</f>
        <v>Avianca Brasil</v>
      </c>
      <c r="F5" s="91" t="str">
        <f>'Fig 7.16'!F5</f>
        <v>Absa</v>
      </c>
      <c r="G5" s="91" t="str">
        <f>'Fig 7.16'!G5</f>
        <v>Outras</v>
      </c>
      <c r="H5" s="91" t="str">
        <f>'Fig 7.16'!H5</f>
        <v>Indústria</v>
      </c>
    </row>
    <row r="6" spans="1:8" x14ac:dyDescent="0.25">
      <c r="A6" s="134" t="str">
        <f>'Fig 7.16'!A6</f>
        <v>2009</v>
      </c>
      <c r="B6" s="89">
        <f>'Fig 7.16'!B6</f>
        <v>1693582</v>
      </c>
      <c r="C6" s="89">
        <f>'Fig 7.16'!C6</f>
        <v>169135</v>
      </c>
      <c r="D6" s="89">
        <f>'Fig 7.16'!D6</f>
        <v>-11584</v>
      </c>
      <c r="E6" s="89">
        <f>'Fig 7.16'!E6</f>
        <v>-2114.84357</v>
      </c>
      <c r="F6" s="89">
        <f>'Fig 7.16'!F6</f>
        <v>8687</v>
      </c>
      <c r="G6" s="89">
        <f>'Fig 7.16'!G6</f>
        <v>17999</v>
      </c>
      <c r="H6" s="89">
        <f>'Fig 7.16'!H6</f>
        <v>1875704.15643</v>
      </c>
    </row>
    <row r="7" spans="1:8" x14ac:dyDescent="0.25">
      <c r="A7" s="176" t="str">
        <f>'Fig 7.16'!A7</f>
        <v>2010</v>
      </c>
      <c r="B7" s="87">
        <f>'Fig 7.16'!B7</f>
        <v>207626</v>
      </c>
      <c r="C7" s="87">
        <f>'Fig 7.16'!C7</f>
        <v>-240835</v>
      </c>
      <c r="D7" s="87">
        <f>'Fig 7.16'!D7</f>
        <v>-44368</v>
      </c>
      <c r="E7" s="87">
        <f>'Fig 7.16'!E7</f>
        <v>-23724</v>
      </c>
      <c r="F7" s="87">
        <f>'Fig 7.16'!F7</f>
        <v>3425</v>
      </c>
      <c r="G7" s="87">
        <f>'Fig 7.16'!G7</f>
        <v>-83919</v>
      </c>
      <c r="H7" s="87">
        <f>'Fig 7.16'!H7</f>
        <v>-181795</v>
      </c>
    </row>
    <row r="8" spans="1:8" x14ac:dyDescent="0.25">
      <c r="A8" s="134" t="str">
        <f>'Fig 7.16'!A8</f>
        <v>2011</v>
      </c>
      <c r="B8" s="89">
        <f>'Fig 7.16'!B8</f>
        <v>-976571</v>
      </c>
      <c r="C8" s="89">
        <f>'Fig 7.16'!C8</f>
        <v>-499940</v>
      </c>
      <c r="D8" s="89">
        <f>'Fig 7.16'!D8</f>
        <v>-76847</v>
      </c>
      <c r="E8" s="89">
        <f>'Fig 7.16'!E8</f>
        <v>-48325</v>
      </c>
      <c r="F8" s="89">
        <f>'Fig 7.16'!F8</f>
        <v>1270</v>
      </c>
      <c r="G8" s="89">
        <f>'Fig 7.16'!G8</f>
        <v>-155215</v>
      </c>
      <c r="H8" s="89">
        <f>'Fig 7.16'!H8</f>
        <v>-1755628</v>
      </c>
    </row>
    <row r="9" spans="1:8" x14ac:dyDescent="0.25">
      <c r="A9" s="176" t="str">
        <f>'Fig 7.16'!A9</f>
        <v>2012</v>
      </c>
      <c r="B9" s="87">
        <f>'Fig 7.16'!B9</f>
        <v>-917795</v>
      </c>
      <c r="C9" s="87">
        <f>'Fig 7.16'!C9</f>
        <v>-439153</v>
      </c>
      <c r="D9" s="87">
        <f>'Fig 7.16'!D9</f>
        <v>-95346</v>
      </c>
      <c r="E9" s="87">
        <f>'Fig 7.16'!E9</f>
        <v>-51437</v>
      </c>
      <c r="F9" s="87">
        <f>'Fig 7.16'!F9</f>
        <v>-2383</v>
      </c>
      <c r="G9" s="87">
        <f>'Fig 7.16'!G9</f>
        <v>-165934</v>
      </c>
      <c r="H9" s="87">
        <f>'Fig 7.16'!H9</f>
        <v>-1672048</v>
      </c>
    </row>
    <row r="10" spans="1:8" x14ac:dyDescent="0.25">
      <c r="A10" s="134" t="str">
        <f>'Fig 7.16'!A10</f>
        <v>2013</v>
      </c>
      <c r="B10" s="89">
        <f>'Fig 7.16'!B10</f>
        <v>-1197546</v>
      </c>
      <c r="C10" s="89">
        <f>'Fig 7.16'!C10</f>
        <v>-734546</v>
      </c>
      <c r="D10" s="89">
        <f>'Fig 7.16'!D10</f>
        <v>-143300</v>
      </c>
      <c r="E10" s="89">
        <f>'Fig 7.16'!E10</f>
        <v>-87309</v>
      </c>
      <c r="F10" s="89">
        <f>'Fig 7.16'!F10</f>
        <v>-10033</v>
      </c>
      <c r="G10" s="89">
        <f>'Fig 7.16'!G10</f>
        <v>-107425</v>
      </c>
      <c r="H10" s="89">
        <f>'Fig 7.16'!H10</f>
        <v>-2280159</v>
      </c>
    </row>
    <row r="11" spans="1:8" x14ac:dyDescent="0.25">
      <c r="A11" s="176" t="str">
        <f>'Fig 7.16'!A11</f>
        <v>2014</v>
      </c>
      <c r="B11" s="87">
        <f>'Fig 7.16'!B11</f>
        <v>-637572</v>
      </c>
      <c r="C11" s="87">
        <f>'Fig 7.16'!C11</f>
        <v>-1175227</v>
      </c>
      <c r="D11" s="87">
        <f>'Fig 7.16'!D11</f>
        <v>-269929</v>
      </c>
      <c r="E11" s="87">
        <f>'Fig 7.16'!E11</f>
        <v>-141630</v>
      </c>
      <c r="F11" s="87">
        <f>'Fig 7.16'!F11</f>
        <v>8242</v>
      </c>
      <c r="G11" s="87">
        <f>'Fig 7.16'!G11</f>
        <v>0</v>
      </c>
      <c r="H11" s="87">
        <f>'Fig 7.16'!H11</f>
        <v>-2216116</v>
      </c>
    </row>
    <row r="12" spans="1:8" x14ac:dyDescent="0.25">
      <c r="A12" s="134" t="str">
        <f>'Fig 7.16'!A12</f>
        <v>2015</v>
      </c>
      <c r="B12" s="89">
        <f>'Fig 7.16'!B12</f>
        <v>-1755766.9807799999</v>
      </c>
      <c r="C12" s="89">
        <f>'Fig 7.16'!C12</f>
        <v>-2308734.8139999998</v>
      </c>
      <c r="D12" s="89">
        <f>'Fig 7.16'!D12</f>
        <v>-492457.56549000001</v>
      </c>
      <c r="E12" s="89">
        <f>'Fig 7.16'!E12</f>
        <v>-139757.152</v>
      </c>
      <c r="F12" s="89">
        <f>'Fig 7.16'!F12</f>
        <v>-44634.852340000005</v>
      </c>
      <c r="G12" s="89">
        <f>'Fig 7.16'!G12</f>
        <v>0</v>
      </c>
      <c r="H12" s="89">
        <f>'Fig 7.16'!H12</f>
        <v>-4741351.3646099996</v>
      </c>
    </row>
    <row r="13" spans="1:8" x14ac:dyDescent="0.25">
      <c r="A13" s="176" t="str">
        <f>'Fig 7.16'!A13</f>
        <v>2016</v>
      </c>
      <c r="B13" s="87">
        <f>'Fig 7.16'!B13</f>
        <v>742896.07095000008</v>
      </c>
      <c r="C13" s="87">
        <f>'Fig 7.16'!C13</f>
        <v>-197382.17902000001</v>
      </c>
      <c r="D13" s="87">
        <f>'Fig 7.16'!D13</f>
        <v>-672470.31380999996</v>
      </c>
      <c r="E13" s="87">
        <f>'Fig 7.16'!E13</f>
        <v>-231065</v>
      </c>
      <c r="F13" s="87">
        <f>'Fig 7.16'!F13</f>
        <v>9101.8489300000001</v>
      </c>
      <c r="G13" s="87">
        <f>'Fig 7.16'!G13</f>
        <v>0</v>
      </c>
      <c r="H13" s="87">
        <f>'Fig 7.16'!H13</f>
        <v>-348919.57294999994</v>
      </c>
    </row>
    <row r="14" spans="1:8" x14ac:dyDescent="0.25">
      <c r="A14" s="134" t="str">
        <f>'Fig 7.16'!A14</f>
        <v>2017</v>
      </c>
      <c r="B14" s="89">
        <f>'Fig 7.16'!B14</f>
        <v>-115566.03170000001</v>
      </c>
      <c r="C14" s="89">
        <f>'Fig 7.16'!C14</f>
        <v>-793738.31628000003</v>
      </c>
      <c r="D14" s="89">
        <f>'Fig 7.16'!D14</f>
        <v>-493380.31279</v>
      </c>
      <c r="E14" s="89">
        <f>'Fig 7.16'!E14</f>
        <v>-178622.07999999999</v>
      </c>
      <c r="F14" s="89">
        <f>'Fig 7.16'!F14</f>
        <v>-13685.745359999999</v>
      </c>
      <c r="G14" s="89">
        <f>'Fig 7.16'!G14</f>
        <v>0</v>
      </c>
      <c r="H14" s="89">
        <f>'Fig 7.16'!H14</f>
        <v>-1594992.4861300001</v>
      </c>
    </row>
    <row r="15" spans="1:8" x14ac:dyDescent="0.25">
      <c r="A15" s="176" t="str">
        <f>'Fig 7.16'!A15</f>
        <v>2018</v>
      </c>
      <c r="B15" s="87">
        <f>'Fig 7.16'!B15</f>
        <v>-388545.65376999998</v>
      </c>
      <c r="C15" s="87">
        <f>'Fig 7.16'!C15</f>
        <v>-1339693.4203699999</v>
      </c>
      <c r="D15" s="87">
        <f>'Fig 7.16'!D15</f>
        <v>-388100.95579000004</v>
      </c>
      <c r="E15" s="87">
        <f>'Fig 7.16'!E15</f>
        <v>-82543.460000000006</v>
      </c>
      <c r="F15" s="87">
        <f>'Fig 7.16'!F15</f>
        <v>-36272.59431</v>
      </c>
      <c r="G15" s="87">
        <f>'Fig 7.16'!G15</f>
        <v>0</v>
      </c>
      <c r="H15" s="87">
        <f>'Fig 7.16'!H15</f>
        <v>-2235156.0842400002</v>
      </c>
    </row>
  </sheetData>
  <mergeCells count="2">
    <mergeCell ref="A3:F3"/>
    <mergeCell ref="A4:H4"/>
  </mergeCells>
  <pageMargins left="0.511811024" right="0.511811024" top="0.78740157499999996" bottom="0.78740157499999996" header="0.31496062000000002" footer="0.31496062000000002"/>
  <drawing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Plan158"/>
  <dimension ref="A1:O15"/>
  <sheetViews>
    <sheetView showGridLines="0" workbookViewId="0">
      <selection activeCell="H12" sqref="H12"/>
    </sheetView>
  </sheetViews>
  <sheetFormatPr defaultRowHeight="15" x14ac:dyDescent="0.25"/>
  <cols>
    <col min="1" max="1" width="5" bestFit="1" customWidth="1"/>
    <col min="2" max="3" width="9.85546875" bestFit="1" customWidth="1"/>
    <col min="4" max="4" width="8.28515625" bestFit="1" customWidth="1"/>
    <col min="5" max="5" width="13.28515625" bestFit="1" customWidth="1"/>
    <col min="6" max="6" width="13.28515625" style="230" customWidth="1"/>
    <col min="7" max="7" width="8.28515625" bestFit="1" customWidth="1"/>
    <col min="8" max="8" width="9.85546875" bestFit="1" customWidth="1"/>
    <col min="11" max="11" width="9.7109375" bestFit="1" customWidth="1"/>
  </cols>
  <sheetData>
    <row r="1" spans="1:15" x14ac:dyDescent="0.25">
      <c r="C1" s="78"/>
      <c r="D1" s="78"/>
      <c r="E1" s="78"/>
      <c r="F1" s="78"/>
      <c r="G1" s="78" t="s">
        <v>439</v>
      </c>
      <c r="H1" s="78" t="s">
        <v>1388</v>
      </c>
    </row>
    <row r="3" spans="1:15" x14ac:dyDescent="0.25">
      <c r="A3" s="350" t="str">
        <f>"Tabela Referente à "&amp;G1</f>
        <v>Tabela Referente à Figura 7.18</v>
      </c>
      <c r="B3" s="350"/>
      <c r="C3" s="350"/>
      <c r="D3" s="350"/>
      <c r="E3" s="350"/>
      <c r="F3" s="350"/>
      <c r="G3" s="350"/>
    </row>
    <row r="4" spans="1:15" ht="15" customHeight="1" x14ac:dyDescent="0.25">
      <c r="A4" s="362" t="str">
        <f>H1</f>
        <v>Resultado Líquido da indústria (R$ 1.000,00), 2009 a 2018</v>
      </c>
      <c r="B4" s="362"/>
      <c r="C4" s="362"/>
      <c r="D4" s="362"/>
      <c r="E4" s="362"/>
      <c r="F4" s="362"/>
      <c r="G4" s="362"/>
      <c r="H4" s="362"/>
    </row>
    <row r="5" spans="1:15" x14ac:dyDescent="0.25">
      <c r="A5" s="86" t="s">
        <v>20</v>
      </c>
      <c r="B5" s="91" t="str">
        <f>'Fig 7.16'!B5</f>
        <v>Latam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6</v>
      </c>
      <c r="H5" s="177" t="s">
        <v>10</v>
      </c>
    </row>
    <row r="6" spans="1:15" x14ac:dyDescent="0.25">
      <c r="A6" s="134" t="s">
        <v>44</v>
      </c>
      <c r="B6" s="89">
        <v>1253719</v>
      </c>
      <c r="C6" s="89">
        <v>725684</v>
      </c>
      <c r="D6" s="89">
        <v>-149815</v>
      </c>
      <c r="E6" s="89">
        <v>-72126.778940000004</v>
      </c>
      <c r="F6" s="89">
        <v>2058</v>
      </c>
      <c r="G6" s="89">
        <v>-52339</v>
      </c>
      <c r="H6" s="89">
        <f>SUM(B6:F6,G6)</f>
        <v>1707180.2210599999</v>
      </c>
    </row>
    <row r="7" spans="1:15" x14ac:dyDescent="0.25">
      <c r="A7" s="176" t="s">
        <v>45</v>
      </c>
      <c r="B7" s="87">
        <v>590001</v>
      </c>
      <c r="C7" s="87">
        <v>292463</v>
      </c>
      <c r="D7" s="87">
        <v>-96256</v>
      </c>
      <c r="E7" s="87">
        <v>15117</v>
      </c>
      <c r="F7" s="87">
        <v>1896</v>
      </c>
      <c r="G7" s="87">
        <v>27936</v>
      </c>
      <c r="H7" s="87">
        <f t="shared" ref="H7:H14" si="0">SUM(B7:F7,G7)</f>
        <v>831157</v>
      </c>
    </row>
    <row r="8" spans="1:15" x14ac:dyDescent="0.25">
      <c r="A8" s="134" t="s">
        <v>3</v>
      </c>
      <c r="B8" s="89">
        <v>-507732</v>
      </c>
      <c r="C8" s="89">
        <v>-518274</v>
      </c>
      <c r="D8" s="89">
        <v>-56665</v>
      </c>
      <c r="E8" s="89">
        <v>-88757</v>
      </c>
      <c r="F8" s="89">
        <v>2092</v>
      </c>
      <c r="G8" s="89">
        <v>-449857</v>
      </c>
      <c r="H8" s="89">
        <f t="shared" si="0"/>
        <v>-1619193</v>
      </c>
    </row>
    <row r="9" spans="1:15" x14ac:dyDescent="0.25">
      <c r="A9" s="176" t="s">
        <v>4</v>
      </c>
      <c r="B9" s="87">
        <v>-1413704</v>
      </c>
      <c r="C9" s="87">
        <v>-1333033</v>
      </c>
      <c r="D9" s="87">
        <v>-143733</v>
      </c>
      <c r="E9" s="87">
        <v>-101991</v>
      </c>
      <c r="F9" s="87">
        <v>-101991</v>
      </c>
      <c r="G9" s="87">
        <v>-522931</v>
      </c>
      <c r="H9" s="87">
        <f t="shared" si="0"/>
        <v>-3617383</v>
      </c>
    </row>
    <row r="10" spans="1:15" x14ac:dyDescent="0.25">
      <c r="A10" s="134" t="s">
        <v>395</v>
      </c>
      <c r="B10" s="89">
        <v>-1653286</v>
      </c>
      <c r="C10" s="89">
        <v>-709774</v>
      </c>
      <c r="D10" s="89">
        <v>136462</v>
      </c>
      <c r="E10" s="89">
        <v>-36511</v>
      </c>
      <c r="F10" s="89">
        <v>-51840</v>
      </c>
      <c r="G10" s="89">
        <v>-73359</v>
      </c>
      <c r="H10" s="89">
        <f t="shared" si="0"/>
        <v>-2388308</v>
      </c>
    </row>
    <row r="11" spans="1:15" x14ac:dyDescent="0.25">
      <c r="A11" s="176" t="s">
        <v>413</v>
      </c>
      <c r="B11" s="87">
        <v>-673935</v>
      </c>
      <c r="C11" s="87">
        <v>-1055763</v>
      </c>
      <c r="D11" s="87">
        <v>80570</v>
      </c>
      <c r="E11" s="87">
        <v>-14778</v>
      </c>
      <c r="F11" s="87">
        <v>19873</v>
      </c>
      <c r="G11" s="87">
        <v>0</v>
      </c>
      <c r="H11" s="87">
        <f t="shared" si="0"/>
        <v>-1644033</v>
      </c>
    </row>
    <row r="12" spans="1:15" x14ac:dyDescent="0.25">
      <c r="A12" s="134" t="s">
        <v>489</v>
      </c>
      <c r="B12" s="89">
        <v>-1570978.23667</v>
      </c>
      <c r="C12" s="89">
        <v>-3493677.1443400001</v>
      </c>
      <c r="D12" s="89">
        <v>-754596.23485999997</v>
      </c>
      <c r="E12" s="89">
        <v>-12407.935720000001</v>
      </c>
      <c r="F12" s="89">
        <v>-40663.434999999998</v>
      </c>
      <c r="G12" s="89">
        <v>0</v>
      </c>
      <c r="H12" s="89">
        <f t="shared" si="0"/>
        <v>-5872322.9865899999</v>
      </c>
      <c r="L12" s="321"/>
      <c r="M12" s="321"/>
      <c r="N12" s="321"/>
      <c r="O12" s="321"/>
    </row>
    <row r="13" spans="1:15" x14ac:dyDescent="0.25">
      <c r="A13" s="176" t="s">
        <v>524</v>
      </c>
      <c r="B13" s="87">
        <v>-651298.15992999997</v>
      </c>
      <c r="C13" s="87">
        <v>-304847.10381</v>
      </c>
      <c r="D13" s="87">
        <v>-549063.99598000001</v>
      </c>
      <c r="E13" s="87">
        <v>-71403</v>
      </c>
      <c r="F13" s="87">
        <f>-25423903.47/10^3</f>
        <v>-25423.903469999997</v>
      </c>
      <c r="G13" s="87">
        <v>0</v>
      </c>
      <c r="H13" s="87">
        <f t="shared" si="0"/>
        <v>-1602036.16319</v>
      </c>
    </row>
    <row r="14" spans="1:15" x14ac:dyDescent="0.25">
      <c r="A14" s="134" t="s">
        <v>718</v>
      </c>
      <c r="B14" s="89">
        <v>120509.4516</v>
      </c>
      <c r="C14" s="89">
        <v>-29155.551579999999</v>
      </c>
      <c r="D14" s="89">
        <v>278586.47772000002</v>
      </c>
      <c r="E14" s="89">
        <v>41584.658000000003</v>
      </c>
      <c r="F14" s="89">
        <v>1793.9096200000001</v>
      </c>
      <c r="G14" s="89">
        <v>0</v>
      </c>
      <c r="H14" s="89">
        <f t="shared" si="0"/>
        <v>413318.94536000001</v>
      </c>
    </row>
    <row r="15" spans="1:15" x14ac:dyDescent="0.25">
      <c r="A15" s="176" t="s">
        <v>877</v>
      </c>
      <c r="B15" s="87">
        <v>-442859.93131000001</v>
      </c>
      <c r="C15" s="87">
        <v>-1168201.4616700001</v>
      </c>
      <c r="D15" s="87">
        <v>170255.08012999999</v>
      </c>
      <c r="E15" s="87">
        <v>-491908.40700000001</v>
      </c>
      <c r="F15" s="87">
        <v>-35174.770640000002</v>
      </c>
      <c r="G15" s="87">
        <v>0</v>
      </c>
      <c r="H15" s="87">
        <f t="shared" ref="H15" si="1">SUM(B15:F15,G15)</f>
        <v>-1967889.49049</v>
      </c>
    </row>
  </sheetData>
  <mergeCells count="2">
    <mergeCell ref="A3:G3"/>
    <mergeCell ref="A4:H4"/>
  </mergeCells>
  <pageMargins left="0.511811024" right="0.511811024" top="0.78740157499999996" bottom="0.78740157499999996" header="0.31496062000000002" footer="0.31496062000000002"/>
  <drawing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Plan159"/>
  <dimension ref="A1:H15"/>
  <sheetViews>
    <sheetView showGridLines="0" workbookViewId="0">
      <selection activeCell="D25" sqref="D25"/>
    </sheetView>
  </sheetViews>
  <sheetFormatPr defaultRowHeight="15" x14ac:dyDescent="0.25"/>
  <cols>
    <col min="1" max="1" width="5" bestFit="1" customWidth="1"/>
    <col min="2" max="4" width="12.28515625" customWidth="1"/>
    <col min="5" max="5" width="13.28515625" bestFit="1" customWidth="1"/>
    <col min="6" max="6" width="12.28515625" style="230" customWidth="1"/>
    <col min="7" max="7" width="12.28515625" customWidth="1"/>
    <col min="8" max="8" width="9.85546875" bestFit="1" customWidth="1"/>
  </cols>
  <sheetData>
    <row r="1" spans="1:8" x14ac:dyDescent="0.25">
      <c r="C1" s="78"/>
      <c r="D1" s="78"/>
      <c r="E1" s="78"/>
      <c r="F1" s="78"/>
      <c r="G1" s="78" t="s">
        <v>747</v>
      </c>
      <c r="H1" s="78" t="s">
        <v>1389</v>
      </c>
    </row>
    <row r="3" spans="1:8" x14ac:dyDescent="0.25">
      <c r="A3" s="350" t="str">
        <f>"Tabela Referente à "&amp;G1</f>
        <v>Tabela Referente à Figura 7.19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2" t="str">
        <f>H1</f>
        <v>Resultado Líquido (R$ 1.000,00), 2015 a 2018</v>
      </c>
      <c r="B4" s="362"/>
      <c r="C4" s="362"/>
      <c r="D4" s="362"/>
      <c r="E4" s="362"/>
      <c r="F4" s="362"/>
      <c r="G4" s="362"/>
      <c r="H4" s="362"/>
    </row>
    <row r="5" spans="1:8" x14ac:dyDescent="0.25">
      <c r="A5" s="86" t="str">
        <f>'Fig 7.18'!A5</f>
        <v>Ano</v>
      </c>
      <c r="B5" s="91" t="str">
        <f>'Fig 7.18'!B5</f>
        <v>Latam</v>
      </c>
      <c r="C5" s="91" t="str">
        <f>'Fig 7.18'!C5</f>
        <v>Gol</v>
      </c>
      <c r="D5" s="91" t="str">
        <f>'Fig 7.18'!D5</f>
        <v>Azul</v>
      </c>
      <c r="E5" s="91" t="str">
        <f>'Fig 7.18'!E5</f>
        <v>Avianca Brasil</v>
      </c>
      <c r="F5" s="91" t="s">
        <v>102</v>
      </c>
      <c r="G5" s="91" t="str">
        <f>'Fig 7.18'!G5</f>
        <v>Outras</v>
      </c>
      <c r="H5" s="91" t="str">
        <f>'Fig 7.18'!H5</f>
        <v>Indústria</v>
      </c>
    </row>
    <row r="6" spans="1:8" x14ac:dyDescent="0.25">
      <c r="A6" s="134" t="str">
        <f>'Fig 7.18'!A6</f>
        <v>2009</v>
      </c>
      <c r="B6" s="89">
        <f>'Fig 7.18'!B6</f>
        <v>1253719</v>
      </c>
      <c r="C6" s="89">
        <f>'Fig 7.18'!C6</f>
        <v>725684</v>
      </c>
      <c r="D6" s="89">
        <f>'Fig 7.18'!D6</f>
        <v>-149815</v>
      </c>
      <c r="E6" s="89">
        <f>'Fig 7.18'!E6</f>
        <v>-72126.778940000004</v>
      </c>
      <c r="F6" s="89">
        <f>'Fig 7.18'!F6</f>
        <v>2058</v>
      </c>
      <c r="G6" s="89">
        <f>'Fig 7.18'!G6</f>
        <v>-52339</v>
      </c>
      <c r="H6" s="89">
        <f>'Fig 7.18'!H6</f>
        <v>1707180.2210599999</v>
      </c>
    </row>
    <row r="7" spans="1:8" x14ac:dyDescent="0.25">
      <c r="A7" s="176" t="str">
        <f>'Fig 7.18'!A7</f>
        <v>2010</v>
      </c>
      <c r="B7" s="87">
        <f>'Fig 7.18'!B7</f>
        <v>590001</v>
      </c>
      <c r="C7" s="87">
        <f>'Fig 7.18'!C7</f>
        <v>292463</v>
      </c>
      <c r="D7" s="87">
        <f>'Fig 7.18'!D7</f>
        <v>-96256</v>
      </c>
      <c r="E7" s="87">
        <f>'Fig 7.18'!E7</f>
        <v>15117</v>
      </c>
      <c r="F7" s="87">
        <f>'Fig 7.18'!F7</f>
        <v>1896</v>
      </c>
      <c r="G7" s="87">
        <f>'Fig 7.18'!G7</f>
        <v>27936</v>
      </c>
      <c r="H7" s="87">
        <f>'Fig 7.18'!H7</f>
        <v>831157</v>
      </c>
    </row>
    <row r="8" spans="1:8" x14ac:dyDescent="0.25">
      <c r="A8" s="134" t="str">
        <f>'Fig 7.18'!A8</f>
        <v>2011</v>
      </c>
      <c r="B8" s="89">
        <f>'Fig 7.18'!B8</f>
        <v>-507732</v>
      </c>
      <c r="C8" s="89">
        <f>'Fig 7.18'!C8</f>
        <v>-518274</v>
      </c>
      <c r="D8" s="89">
        <f>'Fig 7.18'!D8</f>
        <v>-56665</v>
      </c>
      <c r="E8" s="89">
        <f>'Fig 7.18'!E8</f>
        <v>-88757</v>
      </c>
      <c r="F8" s="89">
        <f>'Fig 7.18'!F8</f>
        <v>2092</v>
      </c>
      <c r="G8" s="89">
        <f>'Fig 7.18'!G8</f>
        <v>-449857</v>
      </c>
      <c r="H8" s="89">
        <f>'Fig 7.18'!H8</f>
        <v>-1619193</v>
      </c>
    </row>
    <row r="9" spans="1:8" x14ac:dyDescent="0.25">
      <c r="A9" s="176" t="str">
        <f>'Fig 7.18'!A9</f>
        <v>2012</v>
      </c>
      <c r="B9" s="87">
        <f>'Fig 7.18'!B9</f>
        <v>-1413704</v>
      </c>
      <c r="C9" s="87">
        <f>'Fig 7.18'!C9</f>
        <v>-1333033</v>
      </c>
      <c r="D9" s="87">
        <f>'Fig 7.18'!D9</f>
        <v>-143733</v>
      </c>
      <c r="E9" s="87">
        <f>'Fig 7.18'!E9</f>
        <v>-101991</v>
      </c>
      <c r="F9" s="87">
        <f>'Fig 7.18'!F9</f>
        <v>-101991</v>
      </c>
      <c r="G9" s="87">
        <f>'Fig 7.18'!G9</f>
        <v>-522931</v>
      </c>
      <c r="H9" s="87">
        <f>'Fig 7.18'!H9</f>
        <v>-3617383</v>
      </c>
    </row>
    <row r="10" spans="1:8" x14ac:dyDescent="0.25">
      <c r="A10" s="134" t="str">
        <f>'Fig 7.18'!A10</f>
        <v>2013</v>
      </c>
      <c r="B10" s="89">
        <f>'Fig 7.18'!B10</f>
        <v>-1653286</v>
      </c>
      <c r="C10" s="89">
        <f>'Fig 7.18'!C10</f>
        <v>-709774</v>
      </c>
      <c r="D10" s="89">
        <f>'Fig 7.18'!D10</f>
        <v>136462</v>
      </c>
      <c r="E10" s="89">
        <f>'Fig 7.18'!E10</f>
        <v>-36511</v>
      </c>
      <c r="F10" s="89">
        <f>'Fig 7.18'!F10</f>
        <v>-51840</v>
      </c>
      <c r="G10" s="89">
        <f>'Fig 7.18'!G10</f>
        <v>-73359</v>
      </c>
      <c r="H10" s="89">
        <f>'Fig 7.18'!H10</f>
        <v>-2388308</v>
      </c>
    </row>
    <row r="11" spans="1:8" x14ac:dyDescent="0.25">
      <c r="A11" s="176" t="str">
        <f>'Fig 7.18'!A11</f>
        <v>2014</v>
      </c>
      <c r="B11" s="87">
        <f>'Fig 7.18'!B11</f>
        <v>-673935</v>
      </c>
      <c r="C11" s="87">
        <f>'Fig 7.18'!C11</f>
        <v>-1055763</v>
      </c>
      <c r="D11" s="87">
        <f>'Fig 7.18'!D11</f>
        <v>80570</v>
      </c>
      <c r="E11" s="87">
        <f>'Fig 7.18'!E11</f>
        <v>-14778</v>
      </c>
      <c r="F11" s="87">
        <f>'Fig 7.18'!F11</f>
        <v>19873</v>
      </c>
      <c r="G11" s="87">
        <f>'Fig 7.18'!G11</f>
        <v>0</v>
      </c>
      <c r="H11" s="87">
        <f>'Fig 7.18'!H11</f>
        <v>-1644033</v>
      </c>
    </row>
    <row r="12" spans="1:8" x14ac:dyDescent="0.25">
      <c r="A12" s="134" t="str">
        <f>'Fig 7.18'!A12</f>
        <v>2015</v>
      </c>
      <c r="B12" s="89">
        <f>'Fig 7.18'!B12</f>
        <v>-1570978.23667</v>
      </c>
      <c r="C12" s="89">
        <f>'Fig 7.18'!C12</f>
        <v>-3493677.1443400001</v>
      </c>
      <c r="D12" s="89">
        <f>'Fig 7.18'!D12</f>
        <v>-754596.23485999997</v>
      </c>
      <c r="E12" s="89">
        <f>'Fig 7.18'!E12</f>
        <v>-12407.935720000001</v>
      </c>
      <c r="F12" s="89">
        <f>'Fig 7.18'!F12</f>
        <v>-40663.434999999998</v>
      </c>
      <c r="G12" s="89">
        <f>'Fig 7.18'!G12</f>
        <v>0</v>
      </c>
      <c r="H12" s="89">
        <f>'Fig 7.18'!H12</f>
        <v>-5872322.9865899999</v>
      </c>
    </row>
    <row r="13" spans="1:8" x14ac:dyDescent="0.25">
      <c r="A13" s="176" t="str">
        <f>'Fig 7.18'!A13</f>
        <v>2016</v>
      </c>
      <c r="B13" s="87">
        <f>'Fig 7.18'!B13</f>
        <v>-651298.15992999997</v>
      </c>
      <c r="C13" s="87">
        <f>'Fig 7.18'!C13</f>
        <v>-304847.10381</v>
      </c>
      <c r="D13" s="87">
        <f>'Fig 7.18'!D13</f>
        <v>-549063.99598000001</v>
      </c>
      <c r="E13" s="87">
        <f>'Fig 7.18'!E13</f>
        <v>-71403</v>
      </c>
      <c r="F13" s="87">
        <f>'Fig 7.18'!F13</f>
        <v>-25423.903469999997</v>
      </c>
      <c r="G13" s="87">
        <f>'Fig 7.18'!G13</f>
        <v>0</v>
      </c>
      <c r="H13" s="87">
        <f>'Fig 7.18'!H13</f>
        <v>-1602036.16319</v>
      </c>
    </row>
    <row r="14" spans="1:8" x14ac:dyDescent="0.25">
      <c r="A14" s="134" t="str">
        <f>'Fig 7.18'!A14</f>
        <v>2017</v>
      </c>
      <c r="B14" s="89">
        <f>'Fig 7.18'!B14</f>
        <v>120509.4516</v>
      </c>
      <c r="C14" s="89">
        <f>'Fig 7.18'!C14</f>
        <v>-29155.551579999999</v>
      </c>
      <c r="D14" s="89">
        <f>'Fig 7.18'!D14</f>
        <v>278586.47772000002</v>
      </c>
      <c r="E14" s="89">
        <f>'Fig 7.18'!E14</f>
        <v>41584.658000000003</v>
      </c>
      <c r="F14" s="89">
        <f>'Fig 7.18'!F14</f>
        <v>1793.9096200000001</v>
      </c>
      <c r="G14" s="89">
        <f>'Fig 7.18'!G14</f>
        <v>0</v>
      </c>
      <c r="H14" s="89">
        <f>'Fig 7.18'!H14</f>
        <v>413318.94536000001</v>
      </c>
    </row>
    <row r="15" spans="1:8" x14ac:dyDescent="0.25">
      <c r="A15" s="176" t="str">
        <f>'Fig 7.18'!A15</f>
        <v>2018</v>
      </c>
      <c r="B15" s="87">
        <f>'Fig 7.18'!B15</f>
        <v>-442859.93131000001</v>
      </c>
      <c r="C15" s="87">
        <f>'Fig 7.18'!C15</f>
        <v>-1168201.4616700001</v>
      </c>
      <c r="D15" s="87">
        <f>'Fig 7.18'!D15</f>
        <v>170255.08012999999</v>
      </c>
      <c r="E15" s="87">
        <f>'Fig 7.18'!E15</f>
        <v>-491908.40700000001</v>
      </c>
      <c r="F15" s="87">
        <f>'Fig 7.18'!F15</f>
        <v>-35174.770640000002</v>
      </c>
      <c r="G15" s="87">
        <f>'Fig 7.18'!G15</f>
        <v>0</v>
      </c>
      <c r="H15" s="87">
        <f>'Fig 7.18'!H15</f>
        <v>-1967889.49049</v>
      </c>
    </row>
  </sheetData>
  <mergeCells count="2">
    <mergeCell ref="A3:G3"/>
    <mergeCell ref="A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Plan233"/>
  <dimension ref="A1:M17"/>
  <sheetViews>
    <sheetView showGridLines="0" workbookViewId="0">
      <selection activeCell="H7" sqref="H7:I7"/>
    </sheetView>
  </sheetViews>
  <sheetFormatPr defaultRowHeight="15" x14ac:dyDescent="0.25"/>
  <cols>
    <col min="1" max="1" width="46.42578125" bestFit="1" customWidth="1"/>
    <col min="2" max="4" width="18" bestFit="1" customWidth="1"/>
    <col min="5" max="5" width="16.85546875" bestFit="1" customWidth="1"/>
    <col min="6" max="6" width="11.5703125" bestFit="1" customWidth="1"/>
    <col min="7" max="7" width="12.7109375" bestFit="1" customWidth="1"/>
    <col min="9" max="9" width="11.140625" bestFit="1" customWidth="1"/>
  </cols>
  <sheetData>
    <row r="1" spans="1:13" x14ac:dyDescent="0.25">
      <c r="C1" s="78"/>
      <c r="D1" s="78"/>
      <c r="E1" s="78"/>
      <c r="F1" s="78" t="s">
        <v>333</v>
      </c>
      <c r="G1" s="78" t="s">
        <v>748</v>
      </c>
      <c r="H1" s="78" t="s">
        <v>1390</v>
      </c>
    </row>
    <row r="3" spans="1:13" x14ac:dyDescent="0.25">
      <c r="A3" s="350" t="str">
        <f>"Tabela Referente à "&amp;G1</f>
        <v>Tabela Referente à Figura 7.20</v>
      </c>
      <c r="B3" s="350"/>
      <c r="C3" s="350"/>
      <c r="D3" s="350"/>
      <c r="E3" s="350"/>
      <c r="F3" s="350"/>
      <c r="G3" s="350"/>
    </row>
    <row r="4" spans="1:13" x14ac:dyDescent="0.25">
      <c r="A4" s="362" t="str">
        <f>H1</f>
        <v>Caixa e equivalentes da Indústria no início e final do período, 2018</v>
      </c>
      <c r="B4" s="362"/>
      <c r="C4" s="362"/>
      <c r="D4" s="362"/>
      <c r="E4" s="362"/>
      <c r="F4" s="362"/>
      <c r="G4" s="362"/>
    </row>
    <row r="5" spans="1:13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10</v>
      </c>
    </row>
    <row r="6" spans="1:13" x14ac:dyDescent="0.25">
      <c r="A6" s="176" t="s">
        <v>509</v>
      </c>
      <c r="B6" s="87">
        <v>463693859.32999998</v>
      </c>
      <c r="C6" s="87">
        <v>476945523.69999999</v>
      </c>
      <c r="D6" s="87">
        <v>730574886.60000002</v>
      </c>
      <c r="E6" s="87">
        <v>38140000</v>
      </c>
      <c r="F6" s="87">
        <v>58406773.049999997</v>
      </c>
      <c r="G6" s="87">
        <f>SUM(B6:F6)</f>
        <v>1767761042.6800001</v>
      </c>
    </row>
    <row r="7" spans="1:13" x14ac:dyDescent="0.25">
      <c r="A7" s="134" t="s">
        <v>510</v>
      </c>
      <c r="B7" s="89">
        <v>504373087.89999998</v>
      </c>
      <c r="C7" s="89">
        <v>252871806.00999999</v>
      </c>
      <c r="D7" s="89">
        <v>1028871070.77</v>
      </c>
      <c r="E7" s="89">
        <v>28366000</v>
      </c>
      <c r="F7" s="89">
        <v>112630604.05</v>
      </c>
      <c r="G7" s="89">
        <f t="shared" ref="G7" si="0">SUM(B7:F7)</f>
        <v>1927112568.7299998</v>
      </c>
      <c r="H7" s="182"/>
      <c r="I7" s="269"/>
    </row>
    <row r="8" spans="1:13" x14ac:dyDescent="0.25">
      <c r="A8" s="176" t="s">
        <v>511</v>
      </c>
      <c r="B8" s="87">
        <f>B7-B6</f>
        <v>40679228.569999993</v>
      </c>
      <c r="C8" s="87">
        <f t="shared" ref="C8:G8" si="1">C7-C6</f>
        <v>-224073717.69</v>
      </c>
      <c r="D8" s="87">
        <f t="shared" si="1"/>
        <v>298296184.16999996</v>
      </c>
      <c r="E8" s="87">
        <f t="shared" si="1"/>
        <v>-9774000</v>
      </c>
      <c r="F8" s="87">
        <f t="shared" si="1"/>
        <v>54223831</v>
      </c>
      <c r="G8" s="87">
        <f t="shared" si="1"/>
        <v>159351526.04999971</v>
      </c>
    </row>
    <row r="9" spans="1:13" x14ac:dyDescent="0.25">
      <c r="B9" s="270">
        <f>B7/B6-1</f>
        <v>8.7728633346100704E-2</v>
      </c>
      <c r="C9" s="270">
        <f>C7/C6-1</f>
        <v>-0.46980987671653451</v>
      </c>
      <c r="D9" s="270">
        <f>D7/D6-1</f>
        <v>0.40830336443431747</v>
      </c>
      <c r="E9" s="270">
        <f>E7/E6-1</f>
        <v>-0.25626638699528059</v>
      </c>
      <c r="F9" s="270">
        <f>F7/F6-1</f>
        <v>0.92838258593024592</v>
      </c>
      <c r="G9" s="78"/>
    </row>
    <row r="15" spans="1:13" x14ac:dyDescent="0.25">
      <c r="I15" s="321"/>
      <c r="J15" s="321"/>
      <c r="K15" s="321"/>
      <c r="L15" s="321"/>
      <c r="M15" s="321"/>
    </row>
    <row r="16" spans="1:13" x14ac:dyDescent="0.25">
      <c r="I16" s="321"/>
      <c r="J16" s="321"/>
      <c r="K16" s="321"/>
      <c r="L16" s="321"/>
      <c r="M16" s="321"/>
    </row>
    <row r="17" spans="9:13" x14ac:dyDescent="0.25">
      <c r="I17" s="321"/>
      <c r="J17" s="321"/>
      <c r="K17" s="321"/>
      <c r="L17" s="321"/>
      <c r="M17" s="321"/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Plan234"/>
  <dimension ref="A1:H8"/>
  <sheetViews>
    <sheetView showGridLines="0" workbookViewId="0">
      <selection activeCell="B7" sqref="B7"/>
    </sheetView>
  </sheetViews>
  <sheetFormatPr defaultRowHeight="15" x14ac:dyDescent="0.25"/>
  <cols>
    <col min="1" max="1" width="46.42578125" bestFit="1" customWidth="1"/>
    <col min="2" max="3" width="11.85546875" bestFit="1" customWidth="1"/>
    <col min="4" max="4" width="12.7109375" bestFit="1" customWidth="1"/>
    <col min="5" max="5" width="13.28515625" bestFit="1" customWidth="1"/>
    <col min="6" max="6" width="11.140625" bestFit="1" customWidth="1"/>
    <col min="7" max="7" width="18" bestFit="1" customWidth="1"/>
    <col min="8" max="8" width="10.7109375" customWidth="1"/>
  </cols>
  <sheetData>
    <row r="1" spans="1:8" x14ac:dyDescent="0.25">
      <c r="C1" s="78"/>
      <c r="D1" s="78"/>
      <c r="E1" s="78"/>
      <c r="F1" s="78" t="s">
        <v>334</v>
      </c>
      <c r="G1" s="78" t="s">
        <v>440</v>
      </c>
      <c r="H1" s="78" t="s">
        <v>1391</v>
      </c>
    </row>
    <row r="3" spans="1:8" x14ac:dyDescent="0.25">
      <c r="A3" s="350" t="str">
        <f>"Tabela Referente à "&amp;G1</f>
        <v>Tabela Referente à Figura 7.21</v>
      </c>
      <c r="B3" s="350"/>
      <c r="C3" s="350"/>
      <c r="D3" s="350"/>
      <c r="E3" s="350"/>
      <c r="F3" s="350"/>
      <c r="G3" s="350"/>
      <c r="H3" s="162"/>
    </row>
    <row r="4" spans="1:8" ht="15" customHeight="1" x14ac:dyDescent="0.25">
      <c r="A4" s="363" t="str">
        <f>H1</f>
        <v>Caixa líquido gerado/consumido da Indústria, 2018</v>
      </c>
      <c r="B4" s="363"/>
      <c r="C4" s="363"/>
      <c r="D4" s="363"/>
      <c r="E4" s="363"/>
      <c r="F4" s="363"/>
      <c r="G4" s="363"/>
      <c r="H4" s="162"/>
    </row>
    <row r="5" spans="1:8" x14ac:dyDescent="0.25">
      <c r="A5" s="86" t="str">
        <f>'Fig 7.20'!A5</f>
        <v>Ano</v>
      </c>
      <c r="B5" s="91" t="str">
        <f>'Fig 7.20'!B5</f>
        <v>Latam</v>
      </c>
      <c r="C5" s="91" t="str">
        <f>'Fig 7.20'!C5</f>
        <v>Gol</v>
      </c>
      <c r="D5" s="91" t="str">
        <f>'Fig 7.20'!D5</f>
        <v>Azul</v>
      </c>
      <c r="E5" s="91" t="str">
        <f>'Fig 7.20'!E5</f>
        <v>Avianca Brasil</v>
      </c>
      <c r="F5" s="91" t="str">
        <f>'Fig 7.20'!F5</f>
        <v>Absa</v>
      </c>
      <c r="G5" s="91" t="str">
        <f>'Fig 7.20'!G5</f>
        <v>Indústria</v>
      </c>
    </row>
    <row r="6" spans="1:8" x14ac:dyDescent="0.25">
      <c r="A6" s="176" t="str">
        <f>'Fig 7.20'!A6</f>
        <v>Caixa e Equivalentes de Caixa no Início do Período</v>
      </c>
      <c r="B6" s="87">
        <f>'Fig 7.20'!B6</f>
        <v>463693859.32999998</v>
      </c>
      <c r="C6" s="87">
        <f>'Fig 7.20'!C6</f>
        <v>476945523.69999999</v>
      </c>
      <c r="D6" s="87">
        <f>'Fig 7.20'!D6</f>
        <v>730574886.60000002</v>
      </c>
      <c r="E6" s="87">
        <f>'Fig 7.20'!E6</f>
        <v>38140000</v>
      </c>
      <c r="F6" s="87">
        <f>'Fig 7.20'!F6</f>
        <v>58406773.049999997</v>
      </c>
      <c r="G6" s="87">
        <f>'Fig 7.20'!G6</f>
        <v>1767761042.6800001</v>
      </c>
    </row>
    <row r="7" spans="1:8" x14ac:dyDescent="0.25">
      <c r="A7" s="134" t="str">
        <f>'Fig 7.20'!A7</f>
        <v>Caixa e Equivalentes de Caixa no Final do Período</v>
      </c>
      <c r="B7" s="89">
        <f>'Fig 7.20'!B7</f>
        <v>504373087.89999998</v>
      </c>
      <c r="C7" s="89">
        <f>'Fig 7.20'!C7</f>
        <v>252871806.00999999</v>
      </c>
      <c r="D7" s="89">
        <f>'Fig 7.20'!D7</f>
        <v>1028871070.77</v>
      </c>
      <c r="E7" s="89">
        <f>'Fig 7.20'!E7</f>
        <v>28366000</v>
      </c>
      <c r="F7" s="89">
        <f>'Fig 7.20'!F7</f>
        <v>112630604.05</v>
      </c>
      <c r="G7" s="89">
        <f>'Fig 7.20'!G7</f>
        <v>1927112568.7299998</v>
      </c>
    </row>
    <row r="8" spans="1:8" x14ac:dyDescent="0.25">
      <c r="A8" s="176" t="str">
        <f>'Fig 7.20'!A8</f>
        <v>Caixa Líquido Gerado/Consumido no Período</v>
      </c>
      <c r="B8" s="87">
        <f>'Fig 7.20'!B8</f>
        <v>40679228.569999993</v>
      </c>
      <c r="C8" s="87">
        <f>'Fig 7.20'!C8</f>
        <v>-224073717.69</v>
      </c>
      <c r="D8" s="87">
        <f>'Fig 7.20'!D8</f>
        <v>298296184.16999996</v>
      </c>
      <c r="E8" s="87">
        <f>'Fig 7.20'!E8</f>
        <v>-9774000</v>
      </c>
      <c r="F8" s="87">
        <f>'Fig 7.20'!F8</f>
        <v>54223831</v>
      </c>
      <c r="G8" s="87">
        <f>'Fig 7.20'!G8</f>
        <v>159351526.04999971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Plan243"/>
  <dimension ref="A1:H8"/>
  <sheetViews>
    <sheetView showGridLines="0" workbookViewId="0">
      <selection activeCell="G25" sqref="G25"/>
    </sheetView>
  </sheetViews>
  <sheetFormatPr defaultRowHeight="15" x14ac:dyDescent="0.25"/>
  <cols>
    <col min="1" max="1" width="46.42578125" bestFit="1" customWidth="1"/>
    <col min="2" max="2" width="11.140625" bestFit="1" customWidth="1"/>
    <col min="3" max="4" width="12.7109375" bestFit="1" customWidth="1"/>
    <col min="5" max="5" width="10.7109375" customWidth="1"/>
    <col min="6" max="6" width="11.140625" bestFit="1" customWidth="1"/>
    <col min="7" max="7" width="12.7109375" bestFit="1" customWidth="1"/>
  </cols>
  <sheetData>
    <row r="1" spans="1:8" x14ac:dyDescent="0.25">
      <c r="C1" s="78"/>
      <c r="D1" s="78"/>
      <c r="E1" s="78"/>
      <c r="G1" s="78" t="s">
        <v>441</v>
      </c>
      <c r="H1" s="78" t="s">
        <v>1392</v>
      </c>
    </row>
    <row r="3" spans="1:8" x14ac:dyDescent="0.25">
      <c r="A3" s="350" t="str">
        <f>"Tabela Referente à "&amp;G1</f>
        <v>Tabela Referente à Figura 7.22</v>
      </c>
      <c r="B3" s="350"/>
      <c r="C3" s="350"/>
      <c r="D3" s="350"/>
      <c r="E3" s="350"/>
      <c r="F3" s="350"/>
      <c r="G3" s="350"/>
    </row>
    <row r="4" spans="1:8" x14ac:dyDescent="0.25">
      <c r="A4" s="362" t="str">
        <f>H1</f>
        <v>Caixa e equivalentes no início e final do período por empresa (R$ 1.000.000,00), 2018</v>
      </c>
      <c r="B4" s="362"/>
      <c r="C4" s="362"/>
      <c r="D4" s="362"/>
      <c r="E4" s="362"/>
      <c r="F4" s="362"/>
      <c r="G4" s="362"/>
    </row>
    <row r="5" spans="1:8" x14ac:dyDescent="0.25">
      <c r="A5" s="86" t="str">
        <f>'Fig 7.20'!A5</f>
        <v>Ano</v>
      </c>
      <c r="B5" s="91" t="str">
        <f>'Fig 7.20'!B5</f>
        <v>Latam</v>
      </c>
      <c r="C5" s="91" t="str">
        <f>'Fig 7.20'!C5</f>
        <v>Gol</v>
      </c>
      <c r="D5" s="91" t="str">
        <f>'Fig 7.20'!D5</f>
        <v>Azul</v>
      </c>
      <c r="E5" s="91" t="str">
        <f>'Fig 7.20'!E5</f>
        <v>Avianca Brasil</v>
      </c>
      <c r="F5" s="91" t="str">
        <f>'Fig 7.20'!F5</f>
        <v>Absa</v>
      </c>
      <c r="G5" s="91" t="str">
        <f>'Fig 7.20'!G5</f>
        <v>Indústria</v>
      </c>
    </row>
    <row r="6" spans="1:8" x14ac:dyDescent="0.25">
      <c r="A6" s="176" t="str">
        <f>'Fig 7.20'!A6</f>
        <v>Caixa e Equivalentes de Caixa no Início do Período</v>
      </c>
      <c r="B6" s="87">
        <f>'Fig 7.20'!B6</f>
        <v>463693859.32999998</v>
      </c>
      <c r="C6" s="87">
        <f>'Fig 7.20'!C6</f>
        <v>476945523.69999999</v>
      </c>
      <c r="D6" s="87">
        <f>'Fig 7.20'!D6</f>
        <v>730574886.60000002</v>
      </c>
      <c r="E6" s="87">
        <f>'Fig 7.20'!E6</f>
        <v>38140000</v>
      </c>
      <c r="F6" s="87">
        <f>'Fig 7.20'!F6</f>
        <v>58406773.049999997</v>
      </c>
      <c r="G6" s="87">
        <f>'Fig 7.20'!G6</f>
        <v>1767761042.6800001</v>
      </c>
    </row>
    <row r="7" spans="1:8" x14ac:dyDescent="0.25">
      <c r="A7" s="134" t="str">
        <f>'Fig 7.20'!A7</f>
        <v>Caixa e Equivalentes de Caixa no Final do Período</v>
      </c>
      <c r="B7" s="89">
        <f>'Fig 7.20'!B7</f>
        <v>504373087.89999998</v>
      </c>
      <c r="C7" s="89">
        <f>'Fig 7.20'!C7</f>
        <v>252871806.00999999</v>
      </c>
      <c r="D7" s="89">
        <f>'Fig 7.20'!D7</f>
        <v>1028871070.77</v>
      </c>
      <c r="E7" s="89">
        <f>'Fig 7.20'!E7</f>
        <v>28366000</v>
      </c>
      <c r="F7" s="89">
        <f>'Fig 7.20'!F7</f>
        <v>112630604.05</v>
      </c>
      <c r="G7" s="89">
        <f>'Fig 7.20'!G7</f>
        <v>1927112568.7299998</v>
      </c>
    </row>
    <row r="8" spans="1:8" x14ac:dyDescent="0.25">
      <c r="A8" s="176" t="str">
        <f>'Fig 7.20'!A8</f>
        <v>Caixa Líquido Gerado/Consumido no Período</v>
      </c>
      <c r="B8" s="87">
        <f>'Fig 7.20'!B8</f>
        <v>40679228.569999993</v>
      </c>
      <c r="C8" s="87">
        <f>'Fig 7.20'!C8</f>
        <v>-224073717.69</v>
      </c>
      <c r="D8" s="87">
        <f>'Fig 7.20'!D8</f>
        <v>298296184.16999996</v>
      </c>
      <c r="E8" s="87">
        <f>'Fig 7.20'!E8</f>
        <v>-9774000</v>
      </c>
      <c r="F8" s="87">
        <f>'Fig 7.20'!F8</f>
        <v>54223831</v>
      </c>
      <c r="G8" s="87">
        <f>'Fig 7.20'!G8</f>
        <v>159351526.04999971</v>
      </c>
    </row>
  </sheetData>
  <mergeCells count="2">
    <mergeCell ref="A3:G3"/>
    <mergeCell ref="A4:G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18"/>
  <dimension ref="A1:H26"/>
  <sheetViews>
    <sheetView showGridLines="0" workbookViewId="0">
      <selection activeCell="A5" sqref="A5:B25"/>
    </sheetView>
  </sheetViews>
  <sheetFormatPr defaultRowHeight="15" x14ac:dyDescent="0.25"/>
  <cols>
    <col min="1" max="1" width="30.7109375" bestFit="1" customWidth="1"/>
    <col min="2" max="2" width="50.140625" customWidth="1"/>
  </cols>
  <sheetData>
    <row r="1" spans="1:8" x14ac:dyDescent="0.25">
      <c r="C1" s="78"/>
      <c r="D1" s="78"/>
      <c r="E1" s="78"/>
      <c r="F1" s="78"/>
      <c r="G1" s="78" t="s">
        <v>1142</v>
      </c>
      <c r="H1" s="78" t="s">
        <v>1143</v>
      </c>
    </row>
    <row r="3" spans="1:8" x14ac:dyDescent="0.25">
      <c r="A3" s="350" t="str">
        <f>"Tabela Referente à "&amp;G1</f>
        <v>Tabela Referente à Figura 2.10</v>
      </c>
      <c r="B3" s="350"/>
    </row>
    <row r="4" spans="1:8" ht="33" customHeight="1" x14ac:dyDescent="0.25">
      <c r="A4" s="351" t="str">
        <f>H1</f>
        <v>Variação da quantidade de decolagens nos 20 principais aeroportos com relação ao ano anterior – mercado doméstico, 2018</v>
      </c>
      <c r="B4" s="351"/>
    </row>
    <row r="5" spans="1:8" x14ac:dyDescent="0.25">
      <c r="A5" s="1" t="s">
        <v>7</v>
      </c>
      <c r="B5" s="21" t="s">
        <v>571</v>
      </c>
    </row>
    <row r="6" spans="1:8" x14ac:dyDescent="0.25">
      <c r="A6" s="27" t="s">
        <v>545</v>
      </c>
      <c r="B6" s="10">
        <v>0.11540783471961363</v>
      </c>
    </row>
    <row r="7" spans="1:8" x14ac:dyDescent="0.25">
      <c r="A7" s="28" t="s">
        <v>546</v>
      </c>
      <c r="B7" s="11">
        <v>8.1165857679274655E-3</v>
      </c>
    </row>
    <row r="8" spans="1:8" x14ac:dyDescent="0.25">
      <c r="A8" s="27" t="s">
        <v>547</v>
      </c>
      <c r="B8" s="10">
        <v>4.9800061025550436E-2</v>
      </c>
    </row>
    <row r="9" spans="1:8" x14ac:dyDescent="0.25">
      <c r="A9" s="28" t="s">
        <v>549</v>
      </c>
      <c r="B9" s="11">
        <v>1.0931872908986298E-2</v>
      </c>
    </row>
    <row r="10" spans="1:8" x14ac:dyDescent="0.25">
      <c r="A10" s="27" t="s">
        <v>548</v>
      </c>
      <c r="B10" s="10">
        <v>-2.6757238122851343E-2</v>
      </c>
    </row>
    <row r="11" spans="1:8" x14ac:dyDescent="0.25">
      <c r="A11" s="28" t="s">
        <v>550</v>
      </c>
      <c r="B11" s="11">
        <v>-2.3645935575979299E-2</v>
      </c>
    </row>
    <row r="12" spans="1:8" x14ac:dyDescent="0.25">
      <c r="A12" s="27" t="s">
        <v>551</v>
      </c>
      <c r="B12" s="10">
        <v>-0.13222007461680227</v>
      </c>
    </row>
    <row r="13" spans="1:8" x14ac:dyDescent="0.25">
      <c r="A13" s="28" t="s">
        <v>555</v>
      </c>
      <c r="B13" s="11">
        <v>6.4446338425227831E-2</v>
      </c>
    </row>
    <row r="14" spans="1:8" x14ac:dyDescent="0.25">
      <c r="A14" s="27" t="s">
        <v>554</v>
      </c>
      <c r="B14" s="10">
        <v>1.7580780936346563E-2</v>
      </c>
    </row>
    <row r="15" spans="1:8" x14ac:dyDescent="0.25">
      <c r="A15" s="28" t="s">
        <v>552</v>
      </c>
      <c r="B15" s="11">
        <v>-1.1453235454051115E-2</v>
      </c>
    </row>
    <row r="16" spans="1:8" x14ac:dyDescent="0.25">
      <c r="A16" s="27" t="s">
        <v>553</v>
      </c>
      <c r="B16" s="10">
        <v>-5.9489243764022703E-2</v>
      </c>
    </row>
    <row r="17" spans="1:2" x14ac:dyDescent="0.25">
      <c r="A17" s="28" t="s">
        <v>556</v>
      </c>
      <c r="B17" s="11">
        <v>8.440486316105468E-2</v>
      </c>
    </row>
    <row r="18" spans="1:2" x14ac:dyDescent="0.25">
      <c r="A18" s="27" t="s">
        <v>559</v>
      </c>
      <c r="B18" s="10">
        <v>4.6975723494719519E-2</v>
      </c>
    </row>
    <row r="19" spans="1:2" x14ac:dyDescent="0.25">
      <c r="A19" s="28" t="s">
        <v>562</v>
      </c>
      <c r="B19" s="11">
        <v>-3.6932581251678752E-3</v>
      </c>
    </row>
    <row r="20" spans="1:2" x14ac:dyDescent="0.25">
      <c r="A20" s="27" t="s">
        <v>558</v>
      </c>
      <c r="B20" s="10">
        <v>7.9704369248605172E-3</v>
      </c>
    </row>
    <row r="21" spans="1:2" x14ac:dyDescent="0.25">
      <c r="A21" s="28" t="s">
        <v>557</v>
      </c>
      <c r="B21" s="11">
        <v>7.7231546116144365E-3</v>
      </c>
    </row>
    <row r="22" spans="1:2" x14ac:dyDescent="0.25">
      <c r="A22" s="27" t="s">
        <v>560</v>
      </c>
      <c r="B22" s="10">
        <v>8.9795297161555446E-3</v>
      </c>
    </row>
    <row r="23" spans="1:2" x14ac:dyDescent="0.25">
      <c r="A23" s="28" t="s">
        <v>561</v>
      </c>
      <c r="B23" s="11">
        <v>5.3836036825953532E-2</v>
      </c>
    </row>
    <row r="24" spans="1:2" x14ac:dyDescent="0.25">
      <c r="A24" s="27" t="s">
        <v>563</v>
      </c>
      <c r="B24" s="10">
        <v>-1.8827959519887032E-3</v>
      </c>
    </row>
    <row r="25" spans="1:2" x14ac:dyDescent="0.25">
      <c r="A25" s="28" t="s">
        <v>572</v>
      </c>
      <c r="B25" s="11">
        <v>1.7452006980802793E-3</v>
      </c>
    </row>
    <row r="26" spans="1:2" x14ac:dyDescent="0.25">
      <c r="A26" s="1"/>
      <c r="B26" s="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Plan244"/>
  <dimension ref="A1:H8"/>
  <sheetViews>
    <sheetView showGridLines="0" workbookViewId="0">
      <selection activeCell="G6" sqref="G6"/>
    </sheetView>
  </sheetViews>
  <sheetFormatPr defaultRowHeight="15" x14ac:dyDescent="0.25"/>
  <cols>
    <col min="1" max="1" width="46.42578125" bestFit="1" customWidth="1"/>
    <col min="2" max="2" width="11.140625" bestFit="1" customWidth="1"/>
    <col min="3" max="4" width="12.7109375" bestFit="1" customWidth="1"/>
    <col min="5" max="5" width="13.28515625" bestFit="1" customWidth="1"/>
    <col min="6" max="6" width="13.28515625" style="340" customWidth="1"/>
    <col min="7" max="7" width="12.7109375" bestFit="1" customWidth="1"/>
  </cols>
  <sheetData>
    <row r="1" spans="1:8" x14ac:dyDescent="0.25">
      <c r="C1" s="78"/>
      <c r="D1" s="78"/>
      <c r="E1" s="78"/>
      <c r="F1" s="78"/>
      <c r="G1" s="78" t="s">
        <v>749</v>
      </c>
      <c r="H1" s="78" t="s">
        <v>1393</v>
      </c>
    </row>
    <row r="3" spans="1:8" x14ac:dyDescent="0.25">
      <c r="A3" s="350" t="str">
        <f>"Tabela Referente à "&amp;G1</f>
        <v>Tabela Referente à Figura 7.23</v>
      </c>
      <c r="B3" s="350"/>
      <c r="C3" s="350"/>
      <c r="D3" s="350"/>
      <c r="E3" s="350"/>
      <c r="F3" s="350"/>
      <c r="G3" s="350"/>
    </row>
    <row r="4" spans="1:8" x14ac:dyDescent="0.25">
      <c r="A4" s="362" t="str">
        <f>H1</f>
        <v>Caixa líquido gerado/consumido por empresa (R$ 1.000.000,00), 2018</v>
      </c>
      <c r="B4" s="362"/>
      <c r="C4" s="362"/>
      <c r="D4" s="362"/>
      <c r="E4" s="362"/>
      <c r="F4" s="362"/>
      <c r="G4" s="362"/>
    </row>
    <row r="5" spans="1:8" x14ac:dyDescent="0.25">
      <c r="A5" s="86" t="str">
        <f>'Fig 7.20'!A5</f>
        <v>Ano</v>
      </c>
      <c r="B5" s="91" t="str">
        <f>'Fig 7.20'!B5</f>
        <v>Latam</v>
      </c>
      <c r="C5" s="91" t="str">
        <f>'Fig 7.20'!C5</f>
        <v>Gol</v>
      </c>
      <c r="D5" s="91" t="str">
        <f>'Fig 7.20'!D5</f>
        <v>Azul</v>
      </c>
      <c r="E5" s="91" t="str">
        <f>'Fig 7.20'!E5</f>
        <v>Avianca Brasil</v>
      </c>
      <c r="F5" s="91" t="str">
        <f>'Fig 7.20'!F5</f>
        <v>Absa</v>
      </c>
      <c r="G5" s="91" t="str">
        <f>'Fig 7.20'!G5</f>
        <v>Indústria</v>
      </c>
    </row>
    <row r="6" spans="1:8" x14ac:dyDescent="0.25">
      <c r="A6" s="176" t="str">
        <f>'Fig 7.20'!A6</f>
        <v>Caixa e Equivalentes de Caixa no Início do Período</v>
      </c>
      <c r="B6" s="87">
        <f>'Fig 7.20'!B6</f>
        <v>463693859.32999998</v>
      </c>
      <c r="C6" s="87">
        <f>'Fig 7.20'!C6</f>
        <v>476945523.69999999</v>
      </c>
      <c r="D6" s="87">
        <f>'Fig 7.20'!D6</f>
        <v>730574886.60000002</v>
      </c>
      <c r="E6" s="87">
        <f>'Fig 7.20'!E6</f>
        <v>38140000</v>
      </c>
      <c r="F6" s="87">
        <f>'Fig 7.20'!F6</f>
        <v>58406773.049999997</v>
      </c>
      <c r="G6" s="87">
        <f>'Fig 7.20'!G6</f>
        <v>1767761042.6800001</v>
      </c>
    </row>
    <row r="7" spans="1:8" x14ac:dyDescent="0.25">
      <c r="A7" s="134" t="str">
        <f>'Fig 7.20'!A7</f>
        <v>Caixa e Equivalentes de Caixa no Final do Período</v>
      </c>
      <c r="B7" s="89">
        <f>'Fig 7.20'!B7</f>
        <v>504373087.89999998</v>
      </c>
      <c r="C7" s="89">
        <f>'Fig 7.20'!C7</f>
        <v>252871806.00999999</v>
      </c>
      <c r="D7" s="89">
        <f>'Fig 7.20'!D7</f>
        <v>1028871070.77</v>
      </c>
      <c r="E7" s="89">
        <f>'Fig 7.20'!E7</f>
        <v>28366000</v>
      </c>
      <c r="F7" s="89">
        <f>'Fig 7.20'!F7</f>
        <v>112630604.05</v>
      </c>
      <c r="G7" s="89">
        <f>'Fig 7.20'!G7</f>
        <v>1927112568.7299998</v>
      </c>
    </row>
    <row r="8" spans="1:8" x14ac:dyDescent="0.25">
      <c r="A8" s="176" t="str">
        <f>'Fig 7.20'!A8</f>
        <v>Caixa Líquido Gerado/Consumido no Período</v>
      </c>
      <c r="B8" s="87">
        <f>'Fig 7.20'!B8</f>
        <v>40679228.569999993</v>
      </c>
      <c r="C8" s="87">
        <f>'Fig 7.20'!C8</f>
        <v>-224073717.69</v>
      </c>
      <c r="D8" s="87">
        <f>'Fig 7.20'!D8</f>
        <v>298296184.16999996</v>
      </c>
      <c r="E8" s="87">
        <f>'Fig 7.20'!E8</f>
        <v>-9774000</v>
      </c>
      <c r="F8" s="87">
        <f>'Fig 7.20'!F8</f>
        <v>54223831</v>
      </c>
      <c r="G8" s="87">
        <f>'Fig 7.20'!G8</f>
        <v>159351526.04999971</v>
      </c>
    </row>
  </sheetData>
  <mergeCells count="2">
    <mergeCell ref="A3:G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Plan174"/>
  <dimension ref="A1:H15"/>
  <sheetViews>
    <sheetView showGridLines="0" workbookViewId="0">
      <selection activeCell="G19" sqref="G19"/>
    </sheetView>
  </sheetViews>
  <sheetFormatPr defaultRowHeight="15" x14ac:dyDescent="0.25"/>
  <cols>
    <col min="1" max="1" width="5" bestFit="1" customWidth="1"/>
    <col min="2" max="4" width="11.85546875" customWidth="1"/>
    <col min="5" max="5" width="14.85546875" customWidth="1"/>
    <col min="6" max="6" width="11.85546875" customWidth="1"/>
    <col min="7" max="7" width="10.85546875" customWidth="1"/>
    <col min="8" max="8" width="10.85546875" style="78" customWidth="1"/>
  </cols>
  <sheetData>
    <row r="1" spans="1:8" x14ac:dyDescent="0.25">
      <c r="C1" s="78"/>
      <c r="D1" s="78"/>
      <c r="E1" s="78"/>
      <c r="G1" s="78" t="s">
        <v>750</v>
      </c>
      <c r="H1" s="78" t="s">
        <v>1394</v>
      </c>
    </row>
    <row r="3" spans="1:8" x14ac:dyDescent="0.25">
      <c r="A3" s="350" t="str">
        <f>"Tabela Referente à "&amp;G1</f>
        <v>Tabela Referente à Figura 7.24</v>
      </c>
      <c r="B3" s="350"/>
      <c r="C3" s="350"/>
      <c r="D3" s="350"/>
      <c r="E3" s="350"/>
      <c r="F3" s="350"/>
      <c r="G3" s="350"/>
    </row>
    <row r="4" spans="1:8" x14ac:dyDescent="0.25">
      <c r="A4" s="362" t="str">
        <f>H1</f>
        <v>Margem Bruta da indústria, 2009 a 2018</v>
      </c>
      <c r="B4" s="362"/>
      <c r="C4" s="362"/>
      <c r="D4" s="362"/>
      <c r="E4" s="362"/>
      <c r="F4" s="362"/>
      <c r="G4" s="362"/>
    </row>
    <row r="5" spans="1:8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10</v>
      </c>
    </row>
    <row r="6" spans="1:8" x14ac:dyDescent="0.25">
      <c r="A6" s="134" t="s">
        <v>44</v>
      </c>
      <c r="B6" s="100">
        <v>0.25870496027498907</v>
      </c>
      <c r="C6" s="100">
        <v>0.22036279193584737</v>
      </c>
      <c r="D6" s="100">
        <v>-5.7943652247802652E-2</v>
      </c>
      <c r="E6" s="100">
        <v>4.7983746741214348E-2</v>
      </c>
      <c r="F6" s="100">
        <v>4.325963134996532E-2</v>
      </c>
      <c r="G6" s="100">
        <v>0.22373465565074663</v>
      </c>
    </row>
    <row r="7" spans="1:8" x14ac:dyDescent="0.25">
      <c r="A7" s="176" t="s">
        <v>45</v>
      </c>
      <c r="B7" s="101">
        <v>0.28058153477378694</v>
      </c>
      <c r="C7" s="101">
        <v>0.22479245132171646</v>
      </c>
      <c r="D7" s="101">
        <v>0.12746616823462523</v>
      </c>
      <c r="E7" s="101">
        <v>0.12167919756020554</v>
      </c>
      <c r="F7" s="101">
        <v>7.019971658843327E-2</v>
      </c>
      <c r="G7" s="101">
        <v>0.23829433174447373</v>
      </c>
    </row>
    <row r="8" spans="1:8" x14ac:dyDescent="0.25">
      <c r="A8" s="134" t="s">
        <v>3</v>
      </c>
      <c r="B8" s="100">
        <v>0.26542573252431723</v>
      </c>
      <c r="C8" s="100">
        <v>0.12010095631586597</v>
      </c>
      <c r="D8" s="100">
        <v>0.16262625733170494</v>
      </c>
      <c r="E8" s="100">
        <v>9.65478606764648E-2</v>
      </c>
      <c r="F8" s="100">
        <v>6.1922732260153851E-2</v>
      </c>
      <c r="G8" s="100">
        <v>0.18453105267952255</v>
      </c>
    </row>
    <row r="9" spans="1:8" x14ac:dyDescent="0.25">
      <c r="A9" s="176" t="s">
        <v>4</v>
      </c>
      <c r="B9" s="101">
        <v>0.15421771396281311</v>
      </c>
      <c r="C9" s="101">
        <v>5.4445566692904061E-2</v>
      </c>
      <c r="D9" s="101">
        <v>0.14807415177389788</v>
      </c>
      <c r="E9" s="101">
        <v>0.10149320673893922</v>
      </c>
      <c r="F9" s="101">
        <v>5.6242073942577582E-2</v>
      </c>
      <c r="G9" s="101">
        <v>0.11910876153602752</v>
      </c>
    </row>
    <row r="10" spans="1:8" x14ac:dyDescent="0.25">
      <c r="A10" s="134" t="s">
        <v>395</v>
      </c>
      <c r="B10" s="100">
        <v>0.19270457906665756</v>
      </c>
      <c r="C10" s="100">
        <v>0.15091784127116228</v>
      </c>
      <c r="D10" s="100">
        <v>0.21913718019372166</v>
      </c>
      <c r="E10" s="100">
        <v>0.15456483027267667</v>
      </c>
      <c r="F10" s="100">
        <v>5.8451066028305972E-2</v>
      </c>
      <c r="G10" s="100">
        <v>0.17320787667400592</v>
      </c>
    </row>
    <row r="11" spans="1:8" x14ac:dyDescent="0.25">
      <c r="A11" s="176" t="s">
        <v>413</v>
      </c>
      <c r="B11" s="101">
        <v>0.2025283589653317</v>
      </c>
      <c r="C11" s="101">
        <v>0.16034338553515859</v>
      </c>
      <c r="D11" s="101">
        <v>0.1759392431335135</v>
      </c>
      <c r="E11" s="101">
        <v>0.14092664092664092</v>
      </c>
      <c r="F11" s="101">
        <v>3.6309072781655037E-2</v>
      </c>
      <c r="G11" s="101">
        <v>0.17672404655785695</v>
      </c>
    </row>
    <row r="12" spans="1:8" x14ac:dyDescent="0.25">
      <c r="A12" s="134" t="s">
        <v>489</v>
      </c>
      <c r="B12" s="100">
        <v>9.7369167279080779E-2</v>
      </c>
      <c r="C12" s="100">
        <v>9.8251846670678794E-2</v>
      </c>
      <c r="D12" s="100">
        <v>6.818431083133053E-2</v>
      </c>
      <c r="E12" s="100">
        <v>0.18512066722851547</v>
      </c>
      <c r="F12" s="100">
        <v>5.7412695139687227E-2</v>
      </c>
      <c r="G12" s="100">
        <v>9.7245499851502992E-2</v>
      </c>
      <c r="H12" s="114">
        <f>G12/G11-1</f>
        <v>-0.44973249681861382</v>
      </c>
    </row>
    <row r="13" spans="1:8" x14ac:dyDescent="0.25">
      <c r="A13" s="176" t="s">
        <v>524</v>
      </c>
      <c r="B13" s="101">
        <v>0.12340803904449565</v>
      </c>
      <c r="C13" s="101">
        <v>0.18331969418415128</v>
      </c>
      <c r="D13" s="101">
        <v>0.15884651902814564</v>
      </c>
      <c r="E13" s="101">
        <v>0.18688142179344283</v>
      </c>
      <c r="F13" s="101">
        <v>3.8873468662866749E-2</v>
      </c>
      <c r="G13" s="101">
        <v>0.15014049835076401</v>
      </c>
      <c r="H13" s="114">
        <f>G13/G12-1</f>
        <v>0.54393260952983313</v>
      </c>
    </row>
    <row r="14" spans="1:8" x14ac:dyDescent="0.25">
      <c r="A14" s="134">
        <v>2017</v>
      </c>
      <c r="B14" s="100">
        <v>0.15366823253758716</v>
      </c>
      <c r="C14" s="100">
        <v>0.22435270539631902</v>
      </c>
      <c r="D14" s="100">
        <v>0.21521220906570229</v>
      </c>
      <c r="E14" s="100">
        <v>0.14579646918277089</v>
      </c>
      <c r="F14" s="100">
        <v>5.2649657036259352E-2</v>
      </c>
      <c r="G14" s="100">
        <v>0.18219231053664711</v>
      </c>
      <c r="H14" s="272"/>
    </row>
    <row r="15" spans="1:8" x14ac:dyDescent="0.25">
      <c r="A15" s="176" t="s">
        <v>877</v>
      </c>
      <c r="B15" s="101">
        <v>9.5566636992320458E-2</v>
      </c>
      <c r="C15" s="101">
        <v>0.1560882162394345</v>
      </c>
      <c r="D15" s="101">
        <v>0.16428306764017017</v>
      </c>
      <c r="E15" s="101">
        <v>-1.1005494200873099E-3</v>
      </c>
      <c r="F15" s="101">
        <v>2.1982131145809301E-2</v>
      </c>
      <c r="G15" s="101">
        <v>0.11319402437561066</v>
      </c>
      <c r="H15" s="272">
        <f>G15/G14-1</f>
        <v>-0.37871129663926062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Plan176"/>
  <dimension ref="A1:H15"/>
  <sheetViews>
    <sheetView showGridLines="0" workbookViewId="0">
      <selection activeCell="F15" sqref="F15"/>
    </sheetView>
  </sheetViews>
  <sheetFormatPr defaultRowHeight="15" x14ac:dyDescent="0.25"/>
  <cols>
    <col min="1" max="1" width="5" bestFit="1" customWidth="1"/>
    <col min="2" max="4" width="11.85546875" customWidth="1"/>
    <col min="5" max="5" width="13.28515625" bestFit="1" customWidth="1"/>
    <col min="6" max="6" width="11.85546875" customWidth="1"/>
  </cols>
  <sheetData>
    <row r="1" spans="1:8" x14ac:dyDescent="0.25">
      <c r="C1" s="78"/>
      <c r="D1" s="78"/>
      <c r="E1" s="78"/>
      <c r="G1" s="78" t="s">
        <v>751</v>
      </c>
      <c r="H1" s="78" t="s">
        <v>1395</v>
      </c>
    </row>
    <row r="3" spans="1:8" x14ac:dyDescent="0.25">
      <c r="A3" s="350" t="str">
        <f>"Tabela Referente à "&amp;G1</f>
        <v>Tabela Referente à Figura 7.25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Margem Bruta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7.24'!A5</f>
        <v>Ano</v>
      </c>
      <c r="B5" s="91" t="str">
        <f>'Fig 7.24'!B5</f>
        <v>Latam</v>
      </c>
      <c r="C5" s="91" t="str">
        <f>'Fig 7.24'!C5</f>
        <v>Gol</v>
      </c>
      <c r="D5" s="91" t="str">
        <f>'Fig 7.24'!D5</f>
        <v>Azul</v>
      </c>
      <c r="E5" s="91" t="str">
        <f>'Fig 7.24'!E5</f>
        <v>Avianca Brasil</v>
      </c>
      <c r="F5" s="91" t="str">
        <f>'Fig 7.24'!F5</f>
        <v>Absa</v>
      </c>
      <c r="G5" s="91" t="str">
        <f>'Fig 7.24'!G5</f>
        <v>Indústria</v>
      </c>
    </row>
    <row r="6" spans="1:8" x14ac:dyDescent="0.25">
      <c r="A6" s="134" t="str">
        <f>'Fig 7.24'!A6</f>
        <v>2009</v>
      </c>
      <c r="B6" s="100">
        <f>'Fig 7.24'!B6</f>
        <v>0.25870496027498907</v>
      </c>
      <c r="C6" s="100">
        <f>'Fig 7.24'!C6</f>
        <v>0.22036279193584737</v>
      </c>
      <c r="D6" s="100">
        <f>'Fig 7.24'!D6</f>
        <v>-5.7943652247802652E-2</v>
      </c>
      <c r="E6" s="100">
        <f>'Fig 7.24'!E6</f>
        <v>4.7983746741214348E-2</v>
      </c>
      <c r="F6" s="100">
        <f>'Fig 7.24'!F6</f>
        <v>4.325963134996532E-2</v>
      </c>
      <c r="G6" s="100">
        <f>'Fig 7.24'!G6</f>
        <v>0.22373465565074663</v>
      </c>
    </row>
    <row r="7" spans="1:8" x14ac:dyDescent="0.25">
      <c r="A7" s="176" t="str">
        <f>'Fig 7.24'!A7</f>
        <v>2010</v>
      </c>
      <c r="B7" s="101">
        <f>'Fig 7.24'!B7</f>
        <v>0.28058153477378694</v>
      </c>
      <c r="C7" s="101">
        <f>'Fig 7.24'!C7</f>
        <v>0.22479245132171646</v>
      </c>
      <c r="D7" s="101">
        <f>'Fig 7.24'!D7</f>
        <v>0.12746616823462523</v>
      </c>
      <c r="E7" s="101">
        <f>'Fig 7.24'!E7</f>
        <v>0.12167919756020554</v>
      </c>
      <c r="F7" s="101">
        <f>'Fig 7.24'!F7</f>
        <v>7.019971658843327E-2</v>
      </c>
      <c r="G7" s="101">
        <f>'Fig 7.24'!G7</f>
        <v>0.23829433174447373</v>
      </c>
    </row>
    <row r="8" spans="1:8" x14ac:dyDescent="0.25">
      <c r="A8" s="134" t="str">
        <f>'Fig 7.24'!A8</f>
        <v>2011</v>
      </c>
      <c r="B8" s="100">
        <f>'Fig 7.24'!B8</f>
        <v>0.26542573252431723</v>
      </c>
      <c r="C8" s="100">
        <f>'Fig 7.24'!C8</f>
        <v>0.12010095631586597</v>
      </c>
      <c r="D8" s="100">
        <f>'Fig 7.24'!D8</f>
        <v>0.16262625733170494</v>
      </c>
      <c r="E8" s="100">
        <f>'Fig 7.24'!E8</f>
        <v>9.65478606764648E-2</v>
      </c>
      <c r="F8" s="100">
        <f>'Fig 7.24'!F8</f>
        <v>6.1922732260153851E-2</v>
      </c>
      <c r="G8" s="100">
        <f>'Fig 7.24'!G8</f>
        <v>0.18453105267952255</v>
      </c>
    </row>
    <row r="9" spans="1:8" x14ac:dyDescent="0.25">
      <c r="A9" s="176" t="str">
        <f>'Fig 7.24'!A9</f>
        <v>2012</v>
      </c>
      <c r="B9" s="101">
        <f>'Fig 7.24'!B9</f>
        <v>0.15421771396281311</v>
      </c>
      <c r="C9" s="101">
        <f>'Fig 7.24'!C9</f>
        <v>5.4445566692904061E-2</v>
      </c>
      <c r="D9" s="101">
        <f>'Fig 7.24'!D9</f>
        <v>0.14807415177389788</v>
      </c>
      <c r="E9" s="101">
        <f>'Fig 7.24'!E9</f>
        <v>0.10149320673893922</v>
      </c>
      <c r="F9" s="101">
        <f>'Fig 7.24'!F9</f>
        <v>5.6242073942577582E-2</v>
      </c>
      <c r="G9" s="101">
        <f>'Fig 7.24'!G9</f>
        <v>0.11910876153602752</v>
      </c>
    </row>
    <row r="10" spans="1:8" x14ac:dyDescent="0.25">
      <c r="A10" s="134" t="str">
        <f>'Fig 7.24'!A10</f>
        <v>2013</v>
      </c>
      <c r="B10" s="100">
        <f>'Fig 7.24'!B10</f>
        <v>0.19270457906665756</v>
      </c>
      <c r="C10" s="100">
        <f>'Fig 7.24'!C10</f>
        <v>0.15091784127116228</v>
      </c>
      <c r="D10" s="100">
        <f>'Fig 7.24'!D10</f>
        <v>0.21913718019372166</v>
      </c>
      <c r="E10" s="100">
        <f>'Fig 7.24'!E10</f>
        <v>0.15456483027267667</v>
      </c>
      <c r="F10" s="100">
        <f>'Fig 7.24'!F10</f>
        <v>5.8451066028305972E-2</v>
      </c>
      <c r="G10" s="100">
        <f>'Fig 7.24'!G10</f>
        <v>0.17320787667400592</v>
      </c>
    </row>
    <row r="11" spans="1:8" x14ac:dyDescent="0.25">
      <c r="A11" s="176" t="str">
        <f>'Fig 7.24'!A11</f>
        <v>2014</v>
      </c>
      <c r="B11" s="101">
        <f>'Fig 7.24'!B11</f>
        <v>0.2025283589653317</v>
      </c>
      <c r="C11" s="101">
        <f>'Fig 7.24'!C11</f>
        <v>0.16034338553515859</v>
      </c>
      <c r="D11" s="101">
        <f>'Fig 7.24'!D11</f>
        <v>0.1759392431335135</v>
      </c>
      <c r="E11" s="101">
        <f>'Fig 7.24'!E11</f>
        <v>0.14092664092664092</v>
      </c>
      <c r="F11" s="101">
        <f>'Fig 7.24'!F11</f>
        <v>3.6309072781655037E-2</v>
      </c>
      <c r="G11" s="101">
        <f>'Fig 7.24'!G11</f>
        <v>0.17672404655785695</v>
      </c>
    </row>
    <row r="12" spans="1:8" x14ac:dyDescent="0.25">
      <c r="A12" s="134" t="str">
        <f>'Fig 7.24'!A12</f>
        <v>2015</v>
      </c>
      <c r="B12" s="100">
        <f>'Fig 7.24'!B12</f>
        <v>9.7369167279080779E-2</v>
      </c>
      <c r="C12" s="100">
        <f>'Fig 7.24'!C12</f>
        <v>9.8251846670678794E-2</v>
      </c>
      <c r="D12" s="100">
        <f>'Fig 7.24'!D12</f>
        <v>6.818431083133053E-2</v>
      </c>
      <c r="E12" s="100">
        <f>'Fig 7.24'!E12</f>
        <v>0.18512066722851547</v>
      </c>
      <c r="F12" s="100">
        <f>'Fig 7.24'!F12</f>
        <v>5.7412695139687227E-2</v>
      </c>
      <c r="G12" s="100">
        <f>'Fig 7.24'!G12</f>
        <v>9.7245499851502992E-2</v>
      </c>
    </row>
    <row r="13" spans="1:8" x14ac:dyDescent="0.25">
      <c r="A13" s="176" t="str">
        <f>'Fig 7.24'!A13</f>
        <v>2016</v>
      </c>
      <c r="B13" s="101">
        <f>'Fig 7.24'!B13</f>
        <v>0.12340803904449565</v>
      </c>
      <c r="C13" s="101">
        <f>'Fig 7.24'!C13</f>
        <v>0.18331969418415128</v>
      </c>
      <c r="D13" s="101">
        <f>'Fig 7.24'!D13</f>
        <v>0.15884651902814564</v>
      </c>
      <c r="E13" s="101">
        <f>'Fig 7.24'!E13</f>
        <v>0.18688142179344283</v>
      </c>
      <c r="F13" s="101">
        <f>'Fig 7.24'!F13</f>
        <v>3.8873468662866749E-2</v>
      </c>
      <c r="G13" s="101">
        <f>'Fig 7.24'!G13</f>
        <v>0.15014049835076401</v>
      </c>
    </row>
    <row r="14" spans="1:8" x14ac:dyDescent="0.25">
      <c r="A14" s="134">
        <f>'Fig 7.24'!A14</f>
        <v>2017</v>
      </c>
      <c r="B14" s="100">
        <f>'Fig 7.24'!B14</f>
        <v>0.15366823253758716</v>
      </c>
      <c r="C14" s="100">
        <f>'Fig 7.24'!C14</f>
        <v>0.22435270539631902</v>
      </c>
      <c r="D14" s="100">
        <f>'Fig 7.24'!D14</f>
        <v>0.21521220906570229</v>
      </c>
      <c r="E14" s="100">
        <f>'Fig 7.24'!E14</f>
        <v>0.14579646918277089</v>
      </c>
      <c r="F14" s="100">
        <f>'Fig 7.24'!F14</f>
        <v>5.2649657036259352E-2</v>
      </c>
      <c r="G14" s="100">
        <f>'Fig 7.24'!G14</f>
        <v>0.18219231053664711</v>
      </c>
    </row>
    <row r="15" spans="1:8" x14ac:dyDescent="0.25">
      <c r="A15" s="176" t="str">
        <f>'Fig 7.24'!A15</f>
        <v>2018</v>
      </c>
      <c r="B15" s="101">
        <f>'Fig 7.24'!B15</f>
        <v>9.5566636992320458E-2</v>
      </c>
      <c r="C15" s="101">
        <f>'Fig 7.24'!C15</f>
        <v>0.1560882162394345</v>
      </c>
      <c r="D15" s="101">
        <f>'Fig 7.24'!D15</f>
        <v>0.16428306764017017</v>
      </c>
      <c r="E15" s="101">
        <f>'Fig 7.24'!E15</f>
        <v>-1.1005494200873099E-3</v>
      </c>
      <c r="F15" s="101">
        <f>'Fig 7.24'!F15</f>
        <v>2.1982131145809301E-2</v>
      </c>
      <c r="G15" s="101">
        <f>'Fig 7.24'!G15</f>
        <v>0.11319402437561066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Plan171"/>
  <dimension ref="A1:N15"/>
  <sheetViews>
    <sheetView showGridLines="0" workbookViewId="0">
      <selection activeCell="K15" sqref="K15"/>
    </sheetView>
  </sheetViews>
  <sheetFormatPr defaultRowHeight="15" x14ac:dyDescent="0.25"/>
  <cols>
    <col min="1" max="1" width="5" bestFit="1" customWidth="1"/>
    <col min="2" max="2" width="14" bestFit="1" customWidth="1"/>
    <col min="3" max="4" width="10.7109375" customWidth="1"/>
    <col min="5" max="5" width="13.28515625" bestFit="1" customWidth="1"/>
    <col min="6" max="7" width="10.7109375" customWidth="1"/>
    <col min="10" max="10" width="11.5703125" bestFit="1" customWidth="1"/>
  </cols>
  <sheetData>
    <row r="1" spans="1:14" x14ac:dyDescent="0.25">
      <c r="C1" s="78"/>
      <c r="D1" s="78"/>
      <c r="E1" s="78"/>
      <c r="G1" s="78" t="s">
        <v>752</v>
      </c>
      <c r="H1" s="78" t="s">
        <v>1396</v>
      </c>
    </row>
    <row r="3" spans="1:14" x14ac:dyDescent="0.25">
      <c r="A3" s="350" t="str">
        <f>"Tabela Referente à "&amp;G1</f>
        <v>Tabela Referente à Figura 7.26</v>
      </c>
      <c r="B3" s="350"/>
      <c r="C3" s="350"/>
      <c r="D3" s="350"/>
      <c r="E3" s="350"/>
      <c r="F3" s="350"/>
      <c r="G3" s="350"/>
    </row>
    <row r="4" spans="1:14" x14ac:dyDescent="0.25">
      <c r="A4" s="362" t="str">
        <f>H1</f>
        <v>EBIT (R$ 1.000,00) da indústria, 2009 a 2018</v>
      </c>
      <c r="B4" s="362"/>
      <c r="C4" s="362"/>
      <c r="D4" s="362"/>
      <c r="E4" s="362"/>
      <c r="F4" s="362"/>
      <c r="G4" s="362"/>
    </row>
    <row r="5" spans="1:14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10</v>
      </c>
    </row>
    <row r="6" spans="1:14" x14ac:dyDescent="0.25">
      <c r="A6" s="134" t="s">
        <v>44</v>
      </c>
      <c r="B6" s="89">
        <v>197690</v>
      </c>
      <c r="C6" s="89">
        <v>422485</v>
      </c>
      <c r="D6" s="89">
        <v>-138231</v>
      </c>
      <c r="E6" s="89">
        <v>-70011.935370000007</v>
      </c>
      <c r="F6" s="89">
        <v>-10745</v>
      </c>
      <c r="G6" s="89">
        <v>345699.06462999998</v>
      </c>
    </row>
    <row r="7" spans="1:14" x14ac:dyDescent="0.25">
      <c r="A7" s="176" t="s">
        <v>45</v>
      </c>
      <c r="B7" s="87">
        <v>777386</v>
      </c>
      <c r="C7" s="87">
        <v>716176</v>
      </c>
      <c r="D7" s="87">
        <v>-51888</v>
      </c>
      <c r="E7" s="87">
        <v>-60260</v>
      </c>
      <c r="F7" s="87">
        <v>-301</v>
      </c>
      <c r="G7" s="87">
        <v>1475814</v>
      </c>
    </row>
    <row r="8" spans="1:14" x14ac:dyDescent="0.25">
      <c r="A8" s="134" t="s">
        <v>3</v>
      </c>
      <c r="B8" s="89">
        <v>457656</v>
      </c>
      <c r="C8" s="89">
        <v>-246647</v>
      </c>
      <c r="D8" s="89">
        <v>20182</v>
      </c>
      <c r="E8" s="89">
        <v>-40432</v>
      </c>
      <c r="F8" s="89">
        <v>1448</v>
      </c>
      <c r="G8" s="89">
        <v>1721</v>
      </c>
    </row>
    <row r="9" spans="1:14" x14ac:dyDescent="0.25">
      <c r="A9" s="176" t="s">
        <v>4</v>
      </c>
      <c r="B9" s="87">
        <v>-928384</v>
      </c>
      <c r="C9" s="87">
        <v>-971543</v>
      </c>
      <c r="D9" s="87">
        <v>-48387</v>
      </c>
      <c r="E9" s="87">
        <v>-50554</v>
      </c>
      <c r="F9" s="87">
        <v>3855</v>
      </c>
      <c r="G9" s="87">
        <v>-1995013</v>
      </c>
    </row>
    <row r="10" spans="1:14" x14ac:dyDescent="0.25">
      <c r="A10" s="134" t="s">
        <v>395</v>
      </c>
      <c r="B10" s="89">
        <v>-888476</v>
      </c>
      <c r="C10" s="89">
        <v>6505</v>
      </c>
      <c r="D10" s="89">
        <v>351005</v>
      </c>
      <c r="E10" s="89">
        <v>50798</v>
      </c>
      <c r="F10" s="89">
        <v>-41004</v>
      </c>
      <c r="G10" s="89">
        <v>-492777</v>
      </c>
      <c r="K10" s="321"/>
      <c r="L10" s="321"/>
      <c r="M10" s="321"/>
      <c r="N10" s="321"/>
    </row>
    <row r="11" spans="1:14" x14ac:dyDescent="0.25">
      <c r="A11" s="176" t="s">
        <v>413</v>
      </c>
      <c r="B11" s="87">
        <v>-325099</v>
      </c>
      <c r="C11" s="87">
        <v>173697</v>
      </c>
      <c r="D11" s="87">
        <v>350499</v>
      </c>
      <c r="E11" s="87">
        <v>50045</v>
      </c>
      <c r="F11" s="87">
        <v>12851</v>
      </c>
      <c r="G11" s="87">
        <v>261993</v>
      </c>
      <c r="J11" s="321"/>
      <c r="K11" s="321"/>
      <c r="L11" s="321"/>
      <c r="M11" s="321"/>
      <c r="N11" s="321"/>
    </row>
    <row r="12" spans="1:14" x14ac:dyDescent="0.25">
      <c r="A12" s="134" t="s">
        <v>489</v>
      </c>
      <c r="B12" s="89">
        <v>-403227.29449</v>
      </c>
      <c r="C12" s="89">
        <v>-578820.93969000003</v>
      </c>
      <c r="D12" s="89">
        <v>-262138.66937000002</v>
      </c>
      <c r="E12" s="89">
        <v>127349</v>
      </c>
      <c r="F12" s="89">
        <v>4591.5083399999994</v>
      </c>
      <c r="G12" s="89">
        <v>-1112246.3952100002</v>
      </c>
      <c r="J12" s="321"/>
      <c r="K12" s="321"/>
      <c r="L12" s="321"/>
      <c r="M12" s="321"/>
      <c r="N12" s="321"/>
    </row>
    <row r="13" spans="1:14" x14ac:dyDescent="0.25">
      <c r="A13" s="176" t="s">
        <v>524</v>
      </c>
      <c r="B13" s="87">
        <v>-1259232.9210899998</v>
      </c>
      <c r="C13" s="87">
        <v>-109137.91348</v>
      </c>
      <c r="D13" s="87">
        <v>212394.78875000001</v>
      </c>
      <c r="E13" s="87">
        <v>167181</v>
      </c>
      <c r="F13" s="87">
        <v>-33490.08092</v>
      </c>
      <c r="G13" s="87">
        <v>-1022285.1267399999</v>
      </c>
      <c r="J13" s="8"/>
      <c r="K13" s="8"/>
      <c r="L13" s="8"/>
      <c r="M13" s="8"/>
      <c r="N13" s="8"/>
    </row>
    <row r="14" spans="1:14" x14ac:dyDescent="0.25">
      <c r="A14" s="134">
        <v>2017</v>
      </c>
      <c r="B14" s="89">
        <v>323879.62861000001</v>
      </c>
      <c r="C14" s="89">
        <v>390948.87257999997</v>
      </c>
      <c r="D14" s="89">
        <v>768020.43388999999</v>
      </c>
      <c r="E14" s="89">
        <v>-26325.870999999999</v>
      </c>
      <c r="F14" s="89">
        <v>17355.967140000001</v>
      </c>
      <c r="G14" s="89">
        <v>1473879.03122</v>
      </c>
      <c r="J14" s="321"/>
      <c r="K14" s="321"/>
      <c r="L14" s="321"/>
      <c r="M14" s="321"/>
      <c r="N14" s="321"/>
    </row>
    <row r="15" spans="1:14" x14ac:dyDescent="0.25">
      <c r="A15" s="176" t="s">
        <v>877</v>
      </c>
      <c r="B15" s="87">
        <v>-30790.838520000001</v>
      </c>
      <c r="C15" s="87">
        <v>158604.23522</v>
      </c>
      <c r="D15" s="87">
        <v>577850.84927999997</v>
      </c>
      <c r="E15" s="87">
        <v>-409364.94699999999</v>
      </c>
      <c r="F15" s="87">
        <v>5757.0719500000005</v>
      </c>
      <c r="G15" s="87">
        <f>SUM(B15:F15)</f>
        <v>302056.37093000003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Plan172"/>
  <dimension ref="A1:H15"/>
  <sheetViews>
    <sheetView showGridLines="0" workbookViewId="0">
      <selection activeCell="I18" sqref="I18"/>
    </sheetView>
  </sheetViews>
  <sheetFormatPr defaultRowHeight="15" x14ac:dyDescent="0.25"/>
  <cols>
    <col min="1" max="1" width="5" bestFit="1" customWidth="1"/>
    <col min="2" max="6" width="11.85546875" customWidth="1"/>
    <col min="7" max="7" width="9.85546875" bestFit="1" customWidth="1"/>
  </cols>
  <sheetData>
    <row r="1" spans="1:8" x14ac:dyDescent="0.25">
      <c r="C1" s="78"/>
      <c r="D1" s="78"/>
      <c r="E1" s="78"/>
      <c r="G1" s="78" t="s">
        <v>753</v>
      </c>
      <c r="H1" s="78" t="s">
        <v>1397</v>
      </c>
    </row>
    <row r="3" spans="1:8" x14ac:dyDescent="0.25">
      <c r="A3" s="350" t="str">
        <f>"Tabela Referente à "&amp;G1</f>
        <v>Tabela Referente à Figura 7.27</v>
      </c>
      <c r="B3" s="350"/>
      <c r="C3" s="350"/>
      <c r="D3" s="350"/>
      <c r="E3" s="350"/>
      <c r="F3" s="350"/>
      <c r="G3" s="350"/>
    </row>
    <row r="4" spans="1:8" x14ac:dyDescent="0.25">
      <c r="A4" s="362" t="str">
        <f>H1</f>
        <v>EBIT (R$ 1.000,00) por empresa, 2015 a 2018</v>
      </c>
      <c r="B4" s="362"/>
      <c r="C4" s="362"/>
      <c r="D4" s="362"/>
      <c r="E4" s="362"/>
      <c r="F4" s="362"/>
      <c r="G4" s="362"/>
    </row>
    <row r="5" spans="1:8" x14ac:dyDescent="0.25">
      <c r="A5" s="86" t="str">
        <f>'Fig 7.26'!A5</f>
        <v>Ano</v>
      </c>
      <c r="B5" s="91" t="str">
        <f>'Fig 7.26'!B5</f>
        <v>Latam</v>
      </c>
      <c r="C5" s="91" t="str">
        <f>'Fig 7.26'!C5</f>
        <v>Gol</v>
      </c>
      <c r="D5" s="91" t="str">
        <f>'Fig 7.26'!D5</f>
        <v>Azul</v>
      </c>
      <c r="E5" s="91" t="str">
        <f>'Fig 7.26'!E5</f>
        <v>Avianca Brasil</v>
      </c>
      <c r="F5" s="91" t="str">
        <f>'Fig 7.26'!F5</f>
        <v>Absa</v>
      </c>
      <c r="G5" s="91" t="str">
        <f>'Fig 7.26'!G5</f>
        <v>Indústria</v>
      </c>
    </row>
    <row r="6" spans="1:8" x14ac:dyDescent="0.25">
      <c r="A6" s="134" t="str">
        <f>'Fig 7.26'!A6</f>
        <v>2009</v>
      </c>
      <c r="B6" s="89">
        <f>'Fig 7.26'!B6</f>
        <v>197690</v>
      </c>
      <c r="C6" s="89">
        <f>'Fig 7.26'!C6</f>
        <v>422485</v>
      </c>
      <c r="D6" s="89">
        <f>'Fig 7.26'!D6</f>
        <v>-138231</v>
      </c>
      <c r="E6" s="89">
        <f>'Fig 7.26'!E6</f>
        <v>-70011.935370000007</v>
      </c>
      <c r="F6" s="89">
        <f>'Fig 7.26'!F6</f>
        <v>-10745</v>
      </c>
      <c r="G6" s="89">
        <f>'Fig 7.26'!G6</f>
        <v>345699.06462999998</v>
      </c>
    </row>
    <row r="7" spans="1:8" x14ac:dyDescent="0.25">
      <c r="A7" s="176" t="str">
        <f>'Fig 7.26'!A7</f>
        <v>2010</v>
      </c>
      <c r="B7" s="87">
        <f>'Fig 7.26'!B7</f>
        <v>777386</v>
      </c>
      <c r="C7" s="87">
        <f>'Fig 7.26'!C7</f>
        <v>716176</v>
      </c>
      <c r="D7" s="87">
        <f>'Fig 7.26'!D7</f>
        <v>-51888</v>
      </c>
      <c r="E7" s="87">
        <f>'Fig 7.26'!E7</f>
        <v>-60260</v>
      </c>
      <c r="F7" s="87">
        <f>'Fig 7.26'!F7</f>
        <v>-301</v>
      </c>
      <c r="G7" s="87">
        <f>'Fig 7.26'!G7</f>
        <v>1475814</v>
      </c>
    </row>
    <row r="8" spans="1:8" x14ac:dyDescent="0.25">
      <c r="A8" s="134" t="str">
        <f>'Fig 7.26'!A8</f>
        <v>2011</v>
      </c>
      <c r="B8" s="89">
        <f>'Fig 7.26'!B8</f>
        <v>457656</v>
      </c>
      <c r="C8" s="89">
        <f>'Fig 7.26'!C8</f>
        <v>-246647</v>
      </c>
      <c r="D8" s="89">
        <f>'Fig 7.26'!D8</f>
        <v>20182</v>
      </c>
      <c r="E8" s="89">
        <f>'Fig 7.26'!E8</f>
        <v>-40432</v>
      </c>
      <c r="F8" s="89">
        <f>'Fig 7.26'!F8</f>
        <v>1448</v>
      </c>
      <c r="G8" s="89">
        <f>'Fig 7.26'!G8</f>
        <v>1721</v>
      </c>
    </row>
    <row r="9" spans="1:8" x14ac:dyDescent="0.25">
      <c r="A9" s="176" t="str">
        <f>'Fig 7.26'!A9</f>
        <v>2012</v>
      </c>
      <c r="B9" s="87">
        <f>'Fig 7.26'!B9</f>
        <v>-928384</v>
      </c>
      <c r="C9" s="87">
        <f>'Fig 7.26'!C9</f>
        <v>-971543</v>
      </c>
      <c r="D9" s="87">
        <f>'Fig 7.26'!D9</f>
        <v>-48387</v>
      </c>
      <c r="E9" s="87">
        <f>'Fig 7.26'!E9</f>
        <v>-50554</v>
      </c>
      <c r="F9" s="87">
        <f>'Fig 7.26'!F9</f>
        <v>3855</v>
      </c>
      <c r="G9" s="87">
        <f>'Fig 7.26'!G9</f>
        <v>-1995013</v>
      </c>
    </row>
    <row r="10" spans="1:8" x14ac:dyDescent="0.25">
      <c r="A10" s="134" t="str">
        <f>'Fig 7.26'!A10</f>
        <v>2013</v>
      </c>
      <c r="B10" s="89">
        <f>'Fig 7.26'!B10</f>
        <v>-888476</v>
      </c>
      <c r="C10" s="89">
        <f>'Fig 7.26'!C10</f>
        <v>6505</v>
      </c>
      <c r="D10" s="89">
        <f>'Fig 7.26'!D10</f>
        <v>351005</v>
      </c>
      <c r="E10" s="89">
        <f>'Fig 7.26'!E10</f>
        <v>50798</v>
      </c>
      <c r="F10" s="89">
        <f>'Fig 7.26'!F10</f>
        <v>-41004</v>
      </c>
      <c r="G10" s="89">
        <f>'Fig 7.26'!G10</f>
        <v>-492777</v>
      </c>
    </row>
    <row r="11" spans="1:8" x14ac:dyDescent="0.25">
      <c r="A11" s="176" t="str">
        <f>'Fig 7.26'!A11</f>
        <v>2014</v>
      </c>
      <c r="B11" s="87">
        <f>'Fig 7.26'!B11</f>
        <v>-325099</v>
      </c>
      <c r="C11" s="87">
        <f>'Fig 7.26'!C11</f>
        <v>173697</v>
      </c>
      <c r="D11" s="87">
        <f>'Fig 7.26'!D11</f>
        <v>350499</v>
      </c>
      <c r="E11" s="87">
        <f>'Fig 7.26'!E11</f>
        <v>50045</v>
      </c>
      <c r="F11" s="87">
        <f>'Fig 7.26'!F11</f>
        <v>12851</v>
      </c>
      <c r="G11" s="87">
        <f>'Fig 7.26'!G11</f>
        <v>261993</v>
      </c>
    </row>
    <row r="12" spans="1:8" x14ac:dyDescent="0.25">
      <c r="A12" s="134" t="str">
        <f>'Fig 7.26'!A12</f>
        <v>2015</v>
      </c>
      <c r="B12" s="89">
        <f>'Fig 7.26'!B12</f>
        <v>-403227.29449</v>
      </c>
      <c r="C12" s="89">
        <f>'Fig 7.26'!C12</f>
        <v>-578820.93969000003</v>
      </c>
      <c r="D12" s="89">
        <f>'Fig 7.26'!D12</f>
        <v>-262138.66937000002</v>
      </c>
      <c r="E12" s="89">
        <f>'Fig 7.26'!E12</f>
        <v>127349</v>
      </c>
      <c r="F12" s="89">
        <f>'Fig 7.26'!F12</f>
        <v>4591.5083399999994</v>
      </c>
      <c r="G12" s="89">
        <f>'Fig 7.26'!G12</f>
        <v>-1112246.3952100002</v>
      </c>
    </row>
    <row r="13" spans="1:8" x14ac:dyDescent="0.25">
      <c r="A13" s="176" t="str">
        <f>'Fig 7.26'!A13</f>
        <v>2016</v>
      </c>
      <c r="B13" s="87">
        <f>'Fig 7.26'!B13</f>
        <v>-1259232.9210899998</v>
      </c>
      <c r="C13" s="87">
        <f>'Fig 7.26'!C13</f>
        <v>-109137.91348</v>
      </c>
      <c r="D13" s="87">
        <f>'Fig 7.26'!D13</f>
        <v>212394.78875000001</v>
      </c>
      <c r="E13" s="87">
        <f>'Fig 7.26'!E13</f>
        <v>167181</v>
      </c>
      <c r="F13" s="87">
        <f>'Fig 7.26'!F13</f>
        <v>-33490.08092</v>
      </c>
      <c r="G13" s="87">
        <f>'Fig 7.26'!G13</f>
        <v>-1022285.1267399999</v>
      </c>
    </row>
    <row r="14" spans="1:8" x14ac:dyDescent="0.25">
      <c r="A14" s="134">
        <f>'Fig 7.26'!A14</f>
        <v>2017</v>
      </c>
      <c r="B14" s="89">
        <f>'Fig 7.26'!B14</f>
        <v>323879.62861000001</v>
      </c>
      <c r="C14" s="89">
        <f>'Fig 7.26'!C14</f>
        <v>390948.87257999997</v>
      </c>
      <c r="D14" s="89">
        <f>'Fig 7.26'!D14</f>
        <v>768020.43388999999</v>
      </c>
      <c r="E14" s="89">
        <f>'Fig 7.26'!E14</f>
        <v>-26325.870999999999</v>
      </c>
      <c r="F14" s="89">
        <f>'Fig 7.26'!F14</f>
        <v>17355.967140000001</v>
      </c>
      <c r="G14" s="89">
        <f>'Fig 7.26'!G14</f>
        <v>1473879.03122</v>
      </c>
    </row>
    <row r="15" spans="1:8" x14ac:dyDescent="0.25">
      <c r="A15" s="176" t="str">
        <f>'Fig 7.26'!A15</f>
        <v>2018</v>
      </c>
      <c r="B15" s="87">
        <f>'Fig 7.26'!B15</f>
        <v>-30790.838520000001</v>
      </c>
      <c r="C15" s="87">
        <f>'Fig 7.26'!C15</f>
        <v>158604.23522</v>
      </c>
      <c r="D15" s="87">
        <f>'Fig 7.26'!D15</f>
        <v>577850.84927999997</v>
      </c>
      <c r="E15" s="87">
        <f>'Fig 7.26'!E15</f>
        <v>-409364.94699999999</v>
      </c>
      <c r="F15" s="87">
        <f>'Fig 7.26'!F15</f>
        <v>5757.0719500000005</v>
      </c>
      <c r="G15" s="87">
        <f>'Fig 7.26'!G15</f>
        <v>302056.37093000003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Plan220"/>
  <dimension ref="A1:H15"/>
  <sheetViews>
    <sheetView showGridLines="0" workbookViewId="0">
      <selection activeCell="N28" sqref="N28"/>
    </sheetView>
  </sheetViews>
  <sheetFormatPr defaultRowHeight="15" x14ac:dyDescent="0.25"/>
  <cols>
    <col min="1" max="1" width="5" bestFit="1" customWidth="1"/>
    <col min="2" max="4" width="11.85546875" customWidth="1"/>
    <col min="5" max="5" width="14.85546875" customWidth="1"/>
    <col min="6" max="6" width="11.85546875" customWidth="1"/>
    <col min="7" max="7" width="18.7109375" bestFit="1" customWidth="1"/>
    <col min="8" max="8" width="11.85546875" customWidth="1"/>
  </cols>
  <sheetData>
    <row r="1" spans="1:8" x14ac:dyDescent="0.25">
      <c r="C1" s="78"/>
      <c r="D1" s="78"/>
      <c r="E1" s="78"/>
      <c r="G1" s="78" t="s">
        <v>442</v>
      </c>
      <c r="H1" s="78" t="s">
        <v>1398</v>
      </c>
    </row>
    <row r="3" spans="1:8" x14ac:dyDescent="0.25">
      <c r="A3" s="350" t="str">
        <f>"Tabela Referente à "&amp;G1</f>
        <v>Tabela Referente à Figura 7.28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Margem EBIT da indústria, 2009 a 2018</v>
      </c>
      <c r="B4" s="363"/>
      <c r="C4" s="363"/>
      <c r="D4" s="363"/>
      <c r="E4" s="363"/>
      <c r="F4" s="363"/>
      <c r="G4" s="363"/>
    </row>
    <row r="5" spans="1:8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10</v>
      </c>
    </row>
    <row r="6" spans="1:8" x14ac:dyDescent="0.25">
      <c r="A6" s="134" t="s">
        <v>44</v>
      </c>
      <c r="B6" s="100">
        <v>2.0561981022942172E-2</v>
      </c>
      <c r="C6" s="100">
        <v>7.01175460742572E-2</v>
      </c>
      <c r="D6" s="100">
        <v>-0.36705966701186965</v>
      </c>
      <c r="E6" s="100">
        <v>-0.16968404190333677</v>
      </c>
      <c r="F6" s="100">
        <v>-2.8229365896719139E-2</v>
      </c>
      <c r="G6" s="100">
        <v>1.2284517785763947E-2</v>
      </c>
    </row>
    <row r="7" spans="1:8" x14ac:dyDescent="0.25">
      <c r="A7" s="176" t="s">
        <v>45</v>
      </c>
      <c r="B7" s="101">
        <v>6.9359940049948263E-2</v>
      </c>
      <c r="C7" s="101">
        <v>0.10261214104785092</v>
      </c>
      <c r="D7" s="101">
        <v>-5.9719770089013392E-2</v>
      </c>
      <c r="E7" s="101">
        <v>-0.1045378372845837</v>
      </c>
      <c r="F7" s="101">
        <v>-5.5538334366604669E-4</v>
      </c>
      <c r="G7" s="101">
        <v>6.3158619187072357E-2</v>
      </c>
    </row>
    <row r="8" spans="1:8" x14ac:dyDescent="0.25">
      <c r="A8" s="134" t="s">
        <v>3</v>
      </c>
      <c r="B8" s="100">
        <v>3.636043816911684E-2</v>
      </c>
      <c r="C8" s="100">
        <v>-3.3980038809216948E-2</v>
      </c>
      <c r="D8" s="100">
        <v>1.175402395649695E-2</v>
      </c>
      <c r="E8" s="100">
        <v>-4.8501249958014844E-2</v>
      </c>
      <c r="F8" s="100">
        <v>2.1412326283630511E-3</v>
      </c>
      <c r="G8" s="100">
        <v>-8.5055561062140194E-3</v>
      </c>
    </row>
    <row r="9" spans="1:8" x14ac:dyDescent="0.25">
      <c r="A9" s="176" t="s">
        <v>4</v>
      </c>
      <c r="B9" s="101">
        <v>-6.9761765925854674E-2</v>
      </c>
      <c r="C9" s="101">
        <v>-0.13534915471472056</v>
      </c>
      <c r="D9" s="101">
        <v>-1.8973991980942486E-2</v>
      </c>
      <c r="E9" s="101">
        <v>-3.8301067268929498E-2</v>
      </c>
      <c r="F9" s="101">
        <v>4.514120238364284E-3</v>
      </c>
      <c r="G9" s="101">
        <v>-8.434017535268791E-2</v>
      </c>
    </row>
    <row r="10" spans="1:8" x14ac:dyDescent="0.25">
      <c r="A10" s="134" t="s">
        <v>395</v>
      </c>
      <c r="B10" s="100">
        <v>-6.1704457182304613E-2</v>
      </c>
      <c r="C10" s="100">
        <v>7.3555302619292458E-4</v>
      </c>
      <c r="D10" s="100">
        <v>9.282143525810338E-2</v>
      </c>
      <c r="E10" s="100">
        <v>2.8268224819143015E-2</v>
      </c>
      <c r="F10" s="100">
        <v>-3.95238705709871E-2</v>
      </c>
      <c r="G10" s="100">
        <v>-1.4746312629022786E-2</v>
      </c>
    </row>
    <row r="11" spans="1:8" x14ac:dyDescent="0.25">
      <c r="A11" s="176" t="s">
        <v>413</v>
      </c>
      <c r="B11" s="101">
        <v>-2.1867686435380587E-2</v>
      </c>
      <c r="C11" s="101">
        <v>1.7742839001333648E-2</v>
      </c>
      <c r="D11" s="101">
        <v>6.5324366691970226E-2</v>
      </c>
      <c r="E11" s="101">
        <v>2.290468684494289E-2</v>
      </c>
      <c r="F11" s="101">
        <v>1.2812562313060818E-2</v>
      </c>
      <c r="G11" s="101">
        <v>8.369761021466424E-3</v>
      </c>
    </row>
    <row r="12" spans="1:8" x14ac:dyDescent="0.25">
      <c r="A12" s="134" t="s">
        <v>489</v>
      </c>
      <c r="B12" s="100">
        <v>-2.8772519180024585E-2</v>
      </c>
      <c r="C12" s="100">
        <v>-6.2680234436539223E-2</v>
      </c>
      <c r="D12" s="100">
        <v>-4.1453456816937247E-2</v>
      </c>
      <c r="E12" s="100">
        <v>4.8563948754812104E-2</v>
      </c>
      <c r="F12" s="100">
        <v>4.4113550330866502E-3</v>
      </c>
      <c r="G12" s="100">
        <v>-3.3085178399482648E-2</v>
      </c>
    </row>
    <row r="13" spans="1:8" x14ac:dyDescent="0.25">
      <c r="A13" s="176" t="s">
        <v>524</v>
      </c>
      <c r="B13" s="101">
        <v>-9.092630262385544E-2</v>
      </c>
      <c r="C13" s="101">
        <v>-1.2033018318390694E-2</v>
      </c>
      <c r="D13" s="101">
        <v>3.1843816191302637E-2</v>
      </c>
      <c r="E13" s="101">
        <v>5.6568628048099624E-2</v>
      </c>
      <c r="F13" s="101">
        <v>-3.8271546119118025E-2</v>
      </c>
      <c r="G13" s="101">
        <v>-3.0589816661124151E-2</v>
      </c>
    </row>
    <row r="14" spans="1:8" x14ac:dyDescent="0.25">
      <c r="A14" s="134">
        <v>2017</v>
      </c>
      <c r="B14" s="100">
        <v>2.2402596713414817E-2</v>
      </c>
      <c r="C14" s="100">
        <v>4.0917285499011059E-2</v>
      </c>
      <c r="D14" s="100">
        <v>9.8872968714783474E-2</v>
      </c>
      <c r="E14" s="100">
        <v>-7.4735973680689748E-3</v>
      </c>
      <c r="F14" s="100">
        <v>1.8936057366462439E-2</v>
      </c>
      <c r="G14" s="100">
        <v>4.0693899733654532E-2</v>
      </c>
    </row>
    <row r="15" spans="1:8" x14ac:dyDescent="0.25">
      <c r="A15" s="176" t="s">
        <v>877</v>
      </c>
      <c r="B15" s="101">
        <v>-1.8778423110182828E-3</v>
      </c>
      <c r="C15" s="101">
        <v>1.4932342019564407E-2</v>
      </c>
      <c r="D15" s="101">
        <v>6.3338259748091416E-2</v>
      </c>
      <c r="E15" s="101">
        <v>-8.9643731290064449E-2</v>
      </c>
      <c r="F15" s="101">
        <v>4.7422854201263163E-3</v>
      </c>
      <c r="G15" s="101">
        <v>7.2051542055285465E-3</v>
      </c>
    </row>
  </sheetData>
  <mergeCells count="2">
    <mergeCell ref="A3:G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Plan221"/>
  <dimension ref="A1:H15"/>
  <sheetViews>
    <sheetView showGridLines="0" workbookViewId="0">
      <selection activeCell="J17" sqref="J17"/>
    </sheetView>
  </sheetViews>
  <sheetFormatPr defaultRowHeight="15" x14ac:dyDescent="0.25"/>
  <cols>
    <col min="1" max="1" width="5" bestFit="1" customWidth="1"/>
    <col min="2" max="4" width="11.85546875" customWidth="1"/>
    <col min="5" max="5" width="13.28515625" bestFit="1" customWidth="1"/>
    <col min="6" max="6" width="11.85546875" customWidth="1"/>
    <col min="7" max="7" width="18" bestFit="1" customWidth="1"/>
  </cols>
  <sheetData>
    <row r="1" spans="1:8" x14ac:dyDescent="0.25">
      <c r="C1" s="78"/>
      <c r="D1" s="78"/>
      <c r="E1" s="78"/>
      <c r="G1" s="78" t="s">
        <v>443</v>
      </c>
      <c r="H1" s="78" t="s">
        <v>1399</v>
      </c>
    </row>
    <row r="3" spans="1:8" x14ac:dyDescent="0.25">
      <c r="A3" s="350" t="str">
        <f>"Tabela Referente à "&amp;G1</f>
        <v>Tabela Referente à Figura 7.29</v>
      </c>
      <c r="B3" s="350"/>
      <c r="C3" s="350"/>
      <c r="D3" s="350"/>
      <c r="E3" s="350"/>
      <c r="F3" s="350"/>
      <c r="G3" s="350"/>
    </row>
    <row r="4" spans="1:8" x14ac:dyDescent="0.25">
      <c r="A4" s="363" t="str">
        <f>H1</f>
        <v>Margem EBIT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7.28'!A5</f>
        <v>Ano</v>
      </c>
      <c r="B5" s="91" t="str">
        <f>'Fig 7.28'!B5</f>
        <v>Latam</v>
      </c>
      <c r="C5" s="91" t="str">
        <f>'Fig 7.28'!C5</f>
        <v>Gol</v>
      </c>
      <c r="D5" s="91" t="str">
        <f>'Fig 7.28'!D5</f>
        <v>Azul</v>
      </c>
      <c r="E5" s="91" t="str">
        <f>'Fig 7.28'!E5</f>
        <v>Avianca Brasil</v>
      </c>
      <c r="F5" s="91" t="str">
        <f>'Fig 7.28'!F5</f>
        <v>Absa</v>
      </c>
      <c r="G5" s="91" t="str">
        <f>'Fig 7.28'!G5</f>
        <v>Indústria</v>
      </c>
    </row>
    <row r="6" spans="1:8" x14ac:dyDescent="0.25">
      <c r="A6" s="134" t="str">
        <f>'Fig 7.28'!A6</f>
        <v>2009</v>
      </c>
      <c r="B6" s="100">
        <f>'Fig 7.28'!B6</f>
        <v>2.0561981022942172E-2</v>
      </c>
      <c r="C6" s="100">
        <f>'Fig 7.28'!C6</f>
        <v>7.01175460742572E-2</v>
      </c>
      <c r="D6" s="100">
        <f>'Fig 7.28'!D6</f>
        <v>-0.36705966701186965</v>
      </c>
      <c r="E6" s="100">
        <f>'Fig 7.28'!E6</f>
        <v>-0.16968404190333677</v>
      </c>
      <c r="F6" s="100">
        <f>'Fig 7.28'!F6</f>
        <v>-2.8229365896719139E-2</v>
      </c>
      <c r="G6" s="100">
        <f>'Fig 7.28'!G6</f>
        <v>1.2284517785763947E-2</v>
      </c>
    </row>
    <row r="7" spans="1:8" x14ac:dyDescent="0.25">
      <c r="A7" s="176" t="str">
        <f>'Fig 7.28'!A7</f>
        <v>2010</v>
      </c>
      <c r="B7" s="101">
        <f>'Fig 7.28'!B7</f>
        <v>6.9359940049948263E-2</v>
      </c>
      <c r="C7" s="101">
        <f>'Fig 7.28'!C7</f>
        <v>0.10261214104785092</v>
      </c>
      <c r="D7" s="101">
        <f>'Fig 7.28'!D7</f>
        <v>-5.9719770089013392E-2</v>
      </c>
      <c r="E7" s="101">
        <f>'Fig 7.28'!E7</f>
        <v>-0.1045378372845837</v>
      </c>
      <c r="F7" s="101">
        <f>'Fig 7.28'!F7</f>
        <v>-5.5538334366604669E-4</v>
      </c>
      <c r="G7" s="101">
        <f>'Fig 7.28'!G7</f>
        <v>6.3158619187072357E-2</v>
      </c>
    </row>
    <row r="8" spans="1:8" x14ac:dyDescent="0.25">
      <c r="A8" s="134" t="str">
        <f>'Fig 7.28'!A8</f>
        <v>2011</v>
      </c>
      <c r="B8" s="100">
        <f>'Fig 7.28'!B8</f>
        <v>3.636043816911684E-2</v>
      </c>
      <c r="C8" s="100">
        <f>'Fig 7.28'!C8</f>
        <v>-3.3980038809216948E-2</v>
      </c>
      <c r="D8" s="100">
        <f>'Fig 7.28'!D8</f>
        <v>1.175402395649695E-2</v>
      </c>
      <c r="E8" s="100">
        <f>'Fig 7.28'!E8</f>
        <v>-4.8501249958014844E-2</v>
      </c>
      <c r="F8" s="100">
        <f>'Fig 7.28'!F8</f>
        <v>2.1412326283630511E-3</v>
      </c>
      <c r="G8" s="100">
        <f>'Fig 7.28'!G8</f>
        <v>-8.5055561062140194E-3</v>
      </c>
    </row>
    <row r="9" spans="1:8" x14ac:dyDescent="0.25">
      <c r="A9" s="176" t="str">
        <f>'Fig 7.28'!A9</f>
        <v>2012</v>
      </c>
      <c r="B9" s="101">
        <f>'Fig 7.28'!B9</f>
        <v>-6.9761765925854674E-2</v>
      </c>
      <c r="C9" s="101">
        <f>'Fig 7.28'!C9</f>
        <v>-0.13534915471472056</v>
      </c>
      <c r="D9" s="101">
        <f>'Fig 7.28'!D9</f>
        <v>-1.8973991980942486E-2</v>
      </c>
      <c r="E9" s="101">
        <f>'Fig 7.28'!E9</f>
        <v>-3.8301067268929498E-2</v>
      </c>
      <c r="F9" s="101">
        <f>'Fig 7.28'!F9</f>
        <v>4.514120238364284E-3</v>
      </c>
      <c r="G9" s="101">
        <f>'Fig 7.28'!G9</f>
        <v>-8.434017535268791E-2</v>
      </c>
    </row>
    <row r="10" spans="1:8" x14ac:dyDescent="0.25">
      <c r="A10" s="134" t="str">
        <f>'Fig 7.28'!A10</f>
        <v>2013</v>
      </c>
      <c r="B10" s="100">
        <f>'Fig 7.28'!B10</f>
        <v>-6.1704457182304613E-2</v>
      </c>
      <c r="C10" s="100">
        <f>'Fig 7.28'!C10</f>
        <v>7.3555302619292458E-4</v>
      </c>
      <c r="D10" s="100">
        <f>'Fig 7.28'!D10</f>
        <v>9.282143525810338E-2</v>
      </c>
      <c r="E10" s="100">
        <f>'Fig 7.28'!E10</f>
        <v>2.8268224819143015E-2</v>
      </c>
      <c r="F10" s="100">
        <f>'Fig 7.28'!F10</f>
        <v>-3.95238705709871E-2</v>
      </c>
      <c r="G10" s="100">
        <f>'Fig 7.28'!G10</f>
        <v>-1.4746312629022786E-2</v>
      </c>
    </row>
    <row r="11" spans="1:8" x14ac:dyDescent="0.25">
      <c r="A11" s="176" t="str">
        <f>'Fig 7.28'!A11</f>
        <v>2014</v>
      </c>
      <c r="B11" s="101">
        <f>'Fig 7.28'!B11</f>
        <v>-2.1867686435380587E-2</v>
      </c>
      <c r="C11" s="101">
        <f>'Fig 7.28'!C11</f>
        <v>1.7742839001333648E-2</v>
      </c>
      <c r="D11" s="101">
        <f>'Fig 7.28'!D11</f>
        <v>6.5324366691970226E-2</v>
      </c>
      <c r="E11" s="101">
        <f>'Fig 7.28'!E11</f>
        <v>2.290468684494289E-2</v>
      </c>
      <c r="F11" s="101">
        <f>'Fig 7.28'!F11</f>
        <v>1.2812562313060818E-2</v>
      </c>
      <c r="G11" s="101">
        <f>'Fig 7.28'!G11</f>
        <v>8.369761021466424E-3</v>
      </c>
    </row>
    <row r="12" spans="1:8" x14ac:dyDescent="0.25">
      <c r="A12" s="134" t="str">
        <f>'Fig 7.28'!A12</f>
        <v>2015</v>
      </c>
      <c r="B12" s="100">
        <f>'Fig 7.28'!B12</f>
        <v>-2.8772519180024585E-2</v>
      </c>
      <c r="C12" s="100">
        <f>'Fig 7.28'!C12</f>
        <v>-6.2680234436539223E-2</v>
      </c>
      <c r="D12" s="100">
        <f>'Fig 7.28'!D12</f>
        <v>-4.1453456816937247E-2</v>
      </c>
      <c r="E12" s="100">
        <f>'Fig 7.28'!E12</f>
        <v>4.8563948754812104E-2</v>
      </c>
      <c r="F12" s="100">
        <f>'Fig 7.28'!F12</f>
        <v>4.4113550330866502E-3</v>
      </c>
      <c r="G12" s="100">
        <f>'Fig 7.28'!G12</f>
        <v>-3.3085178399482648E-2</v>
      </c>
    </row>
    <row r="13" spans="1:8" x14ac:dyDescent="0.25">
      <c r="A13" s="176" t="str">
        <f>'Fig 7.28'!A13</f>
        <v>2016</v>
      </c>
      <c r="B13" s="101">
        <f>'Fig 7.28'!B13</f>
        <v>-9.092630262385544E-2</v>
      </c>
      <c r="C13" s="101">
        <f>'Fig 7.28'!C13</f>
        <v>-1.2033018318390694E-2</v>
      </c>
      <c r="D13" s="101">
        <f>'Fig 7.28'!D13</f>
        <v>3.1843816191302637E-2</v>
      </c>
      <c r="E13" s="101">
        <f>'Fig 7.28'!E13</f>
        <v>5.6568628048099624E-2</v>
      </c>
      <c r="F13" s="101">
        <f>'Fig 7.28'!F13</f>
        <v>-3.8271546119118025E-2</v>
      </c>
      <c r="G13" s="101">
        <f>'Fig 7.28'!G13</f>
        <v>-3.0589816661124151E-2</v>
      </c>
    </row>
    <row r="14" spans="1:8" x14ac:dyDescent="0.25">
      <c r="A14" s="134">
        <f>'Fig 7.28'!A14</f>
        <v>2017</v>
      </c>
      <c r="B14" s="100">
        <f>'Fig 7.28'!B14</f>
        <v>2.2402596713414817E-2</v>
      </c>
      <c r="C14" s="100">
        <f>'Fig 7.28'!C14</f>
        <v>4.0917285499011059E-2</v>
      </c>
      <c r="D14" s="100">
        <f>'Fig 7.28'!D14</f>
        <v>9.8872968714783474E-2</v>
      </c>
      <c r="E14" s="100">
        <f>'Fig 7.28'!E14</f>
        <v>-7.4735973680689748E-3</v>
      </c>
      <c r="F14" s="100">
        <f>'Fig 7.28'!F14</f>
        <v>1.8936057366462439E-2</v>
      </c>
      <c r="G14" s="100">
        <f>'Fig 7.28'!G14</f>
        <v>4.0693899733654532E-2</v>
      </c>
    </row>
    <row r="15" spans="1:8" x14ac:dyDescent="0.25">
      <c r="A15" s="176" t="str">
        <f>'Fig 7.28'!A15</f>
        <v>2018</v>
      </c>
      <c r="B15" s="101">
        <f>'Fig 7.28'!B15</f>
        <v>-1.8778423110182828E-3</v>
      </c>
      <c r="C15" s="101">
        <f>'Fig 7.28'!C15</f>
        <v>1.4932342019564407E-2</v>
      </c>
      <c r="D15" s="101">
        <f>'Fig 7.28'!D15</f>
        <v>6.3338259748091416E-2</v>
      </c>
      <c r="E15" s="101">
        <f>'Fig 7.28'!E15</f>
        <v>-8.9643731290064449E-2</v>
      </c>
      <c r="F15" s="101">
        <f>'Fig 7.28'!F15</f>
        <v>4.7422854201263163E-3</v>
      </c>
      <c r="G15" s="101">
        <f>'Fig 7.28'!G15</f>
        <v>7.2051542055285465E-3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Plan177"/>
  <dimension ref="A1:H15"/>
  <sheetViews>
    <sheetView showGridLines="0" workbookViewId="0">
      <selection activeCell="I16" sqref="I16"/>
    </sheetView>
  </sheetViews>
  <sheetFormatPr defaultRowHeight="15" x14ac:dyDescent="0.25"/>
  <cols>
    <col min="1" max="1" width="5" bestFit="1" customWidth="1"/>
    <col min="2" max="4" width="11.85546875" customWidth="1"/>
    <col min="5" max="5" width="14.85546875" customWidth="1"/>
    <col min="6" max="6" width="11.85546875" customWidth="1"/>
    <col min="7" max="7" width="8.85546875" bestFit="1" customWidth="1"/>
    <col min="8" max="8" width="11.85546875" customWidth="1"/>
  </cols>
  <sheetData>
    <row r="1" spans="1:8" x14ac:dyDescent="0.25">
      <c r="C1" s="78"/>
      <c r="D1" s="78"/>
      <c r="E1" s="78"/>
      <c r="G1" s="78" t="s">
        <v>758</v>
      </c>
      <c r="H1" s="78" t="s">
        <v>1400</v>
      </c>
    </row>
    <row r="3" spans="1:8" x14ac:dyDescent="0.25">
      <c r="A3" s="350" t="str">
        <f>"Tabela Referente à "&amp;G1</f>
        <v>Tabela Referente à Figura 7.30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Margem Líquida da indústria, 2009 a 2018</v>
      </c>
      <c r="B4" s="363"/>
      <c r="C4" s="363"/>
      <c r="D4" s="363"/>
      <c r="E4" s="363"/>
      <c r="F4" s="363"/>
      <c r="G4" s="363"/>
    </row>
    <row r="5" spans="1:8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337</v>
      </c>
      <c r="F5" s="91" t="s">
        <v>102</v>
      </c>
      <c r="G5" s="91" t="s">
        <v>10</v>
      </c>
    </row>
    <row r="6" spans="1:8" x14ac:dyDescent="0.25">
      <c r="A6" s="134" t="s">
        <v>44</v>
      </c>
      <c r="B6" s="100">
        <v>0.13040086137944276</v>
      </c>
      <c r="C6" s="100">
        <v>0.12043784111945102</v>
      </c>
      <c r="D6" s="100">
        <v>-0.39781991024721847</v>
      </c>
      <c r="E6" s="100">
        <v>-0.17480967088437266</v>
      </c>
      <c r="F6" s="100">
        <v>-5.4067971163748712E-3</v>
      </c>
      <c r="G6" s="100">
        <v>9.8367240719059348E-2</v>
      </c>
    </row>
    <row r="7" spans="1:8" x14ac:dyDescent="0.25">
      <c r="A7" s="176" t="s">
        <v>45</v>
      </c>
      <c r="B7" s="101">
        <v>5.2641074047396694E-2</v>
      </c>
      <c r="C7" s="101">
        <v>4.1903463125373686E-2</v>
      </c>
      <c r="D7" s="101">
        <v>-0.11078450103469152</v>
      </c>
      <c r="E7" s="101">
        <v>2.6224667876386522E-2</v>
      </c>
      <c r="F7" s="101">
        <v>3.498361526879816E-3</v>
      </c>
      <c r="G7" s="101">
        <v>3.8355846408083573E-2</v>
      </c>
    </row>
    <row r="8" spans="1:8" x14ac:dyDescent="0.25">
      <c r="A8" s="134" t="s">
        <v>3</v>
      </c>
      <c r="B8" s="100">
        <v>-4.0338940148238051E-2</v>
      </c>
      <c r="C8" s="100">
        <v>-7.1401519717686018E-2</v>
      </c>
      <c r="D8" s="100">
        <v>-3.30017722472946E-2</v>
      </c>
      <c r="E8" s="100">
        <v>-0.10647075194211326</v>
      </c>
      <c r="F8" s="100">
        <v>3.0935487973311488E-3</v>
      </c>
      <c r="G8" s="100">
        <v>-5.9517057776374394E-2</v>
      </c>
    </row>
    <row r="9" spans="1:8" x14ac:dyDescent="0.25">
      <c r="A9" s="176" t="s">
        <v>4</v>
      </c>
      <c r="B9" s="101">
        <v>-0.10623027490396696</v>
      </c>
      <c r="C9" s="101">
        <v>-0.18570962865959417</v>
      </c>
      <c r="D9" s="101">
        <v>-5.6362014371562734E-2</v>
      </c>
      <c r="E9" s="101">
        <v>-7.7271119037571473E-2</v>
      </c>
      <c r="F9" s="101">
        <v>7.4357103796662014E-4</v>
      </c>
      <c r="G9" s="101">
        <v>-0.11867595783156737</v>
      </c>
    </row>
    <row r="10" spans="1:8" x14ac:dyDescent="0.25">
      <c r="A10" s="134" t="s">
        <v>395</v>
      </c>
      <c r="B10" s="100">
        <v>-0.11482033864404179</v>
      </c>
      <c r="C10" s="100">
        <v>-8.0257711546972602E-2</v>
      </c>
      <c r="D10" s="100">
        <v>3.6086661723312499E-2</v>
      </c>
      <c r="E10" s="100">
        <v>-2.0317751808569838E-2</v>
      </c>
      <c r="F10" s="100">
        <v>-4.9968721354013548E-2</v>
      </c>
      <c r="G10" s="100">
        <v>-7.6272305814291563E-2</v>
      </c>
    </row>
    <row r="11" spans="1:8" x14ac:dyDescent="0.25">
      <c r="A11" s="176" t="s">
        <v>413</v>
      </c>
      <c r="B11" s="101">
        <v>-4.5332035034953089E-2</v>
      </c>
      <c r="C11" s="101">
        <v>-0.10784430895504825</v>
      </c>
      <c r="D11" s="101">
        <v>1.501626031564153E-2</v>
      </c>
      <c r="E11" s="101">
        <v>-6.763621984105626E-3</v>
      </c>
      <c r="F11" s="101">
        <v>1.9813559322033897E-2</v>
      </c>
      <c r="G11" s="101">
        <v>-4.950448928050584E-2</v>
      </c>
    </row>
    <row r="12" spans="1:8" x14ac:dyDescent="0.25">
      <c r="A12" s="134" t="s">
        <v>489</v>
      </c>
      <c r="B12" s="100">
        <v>-0.11209806990659893</v>
      </c>
      <c r="C12" s="100">
        <v>-0.37832857700361006</v>
      </c>
      <c r="D12" s="100">
        <v>-0.1193285313882512</v>
      </c>
      <c r="E12" s="100">
        <v>-4.7313517357886886E-3</v>
      </c>
      <c r="F12" s="100">
        <v>-3.9067956620512607E-2</v>
      </c>
      <c r="G12" s="100">
        <v>-0.17668746914841915</v>
      </c>
      <c r="H12" s="182"/>
    </row>
    <row r="13" spans="1:8" x14ac:dyDescent="0.25">
      <c r="A13" s="176" t="s">
        <v>524</v>
      </c>
      <c r="B13" s="101">
        <v>-4.7028736778017249E-2</v>
      </c>
      <c r="C13" s="101">
        <v>-3.3610966780359956E-2</v>
      </c>
      <c r="D13" s="101">
        <v>-8.2319783211956279E-2</v>
      </c>
      <c r="E13" s="101">
        <v>-2.4160459313668763E-2</v>
      </c>
      <c r="F13" s="101">
        <v>-2.9053739717870758E-2</v>
      </c>
      <c r="G13" s="101">
        <v>-4.7937694909784861E-2</v>
      </c>
      <c r="H13" s="115">
        <f>G13/G12-1</f>
        <v>-0.72868650425052639</v>
      </c>
    </row>
    <row r="14" spans="1:8" x14ac:dyDescent="0.25">
      <c r="A14" s="134">
        <v>2017</v>
      </c>
      <c r="B14" s="100">
        <v>8.3355802769567149E-3</v>
      </c>
      <c r="C14" s="100">
        <v>-3.0104738977778803E-3</v>
      </c>
      <c r="D14" s="100">
        <v>3.5864504224787833E-2</v>
      </c>
      <c r="E14" s="100">
        <v>1.1805383023446725E-2</v>
      </c>
      <c r="F14" s="100">
        <v>1.9572274596141486E-3</v>
      </c>
      <c r="G14" s="100">
        <v>1.1422569039471451E-2</v>
      </c>
    </row>
    <row r="15" spans="1:8" x14ac:dyDescent="0.25">
      <c r="A15" s="176" t="s">
        <v>877</v>
      </c>
      <c r="B15" s="101">
        <v>-2.7008719373731702E-2</v>
      </c>
      <c r="C15" s="101">
        <v>-0.10998435034988154</v>
      </c>
      <c r="D15" s="101">
        <v>1.866166762953184E-2</v>
      </c>
      <c r="E15" s="101">
        <v>-0.1077192988300282</v>
      </c>
      <c r="F15" s="101">
        <v>-2.8974590453461194E-2</v>
      </c>
      <c r="G15" s="101">
        <v>-4.6941394398548705E-2</v>
      </c>
    </row>
  </sheetData>
  <mergeCells count="2">
    <mergeCell ref="A3:G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Plan178"/>
  <dimension ref="A1:H15"/>
  <sheetViews>
    <sheetView showGridLines="0" workbookViewId="0">
      <selection activeCell="A15" sqref="A15:G15"/>
    </sheetView>
  </sheetViews>
  <sheetFormatPr defaultRowHeight="15" x14ac:dyDescent="0.25"/>
  <cols>
    <col min="1" max="1" width="5" bestFit="1" customWidth="1"/>
    <col min="2" max="6" width="11.85546875" customWidth="1"/>
  </cols>
  <sheetData>
    <row r="1" spans="1:8" x14ac:dyDescent="0.25">
      <c r="C1" s="78"/>
      <c r="D1" s="78"/>
      <c r="E1" s="78"/>
      <c r="G1" s="78" t="s">
        <v>444</v>
      </c>
      <c r="H1" s="78" t="s">
        <v>1401</v>
      </c>
    </row>
    <row r="3" spans="1:8" x14ac:dyDescent="0.25">
      <c r="A3" s="350" t="str">
        <f>"Tabela Referente à "&amp;G1</f>
        <v>Tabela Referente à Figura 7.31</v>
      </c>
      <c r="B3" s="350"/>
      <c r="C3" s="350"/>
      <c r="D3" s="350"/>
      <c r="E3" s="350"/>
      <c r="F3" s="350"/>
    </row>
    <row r="4" spans="1:8" x14ac:dyDescent="0.25">
      <c r="A4" s="363" t="str">
        <f>H1</f>
        <v>Margem Líquida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7.30'!A5</f>
        <v>Ano</v>
      </c>
      <c r="B5" s="91" t="str">
        <f>'Fig 7.30'!B5</f>
        <v>Latam</v>
      </c>
      <c r="C5" s="91" t="str">
        <f>'Fig 7.30'!C5</f>
        <v>Gol</v>
      </c>
      <c r="D5" s="91" t="str">
        <f>'Fig 7.30'!D5</f>
        <v>Azul</v>
      </c>
      <c r="E5" s="91" t="str">
        <f>'Fig 7.30'!E5</f>
        <v>Avianca Brasil</v>
      </c>
      <c r="F5" s="91" t="str">
        <f>'Fig 7.30'!F5</f>
        <v>Absa</v>
      </c>
      <c r="G5" s="91" t="str">
        <f>'Fig 7.30'!G5</f>
        <v>Indústria</v>
      </c>
    </row>
    <row r="6" spans="1:8" x14ac:dyDescent="0.25">
      <c r="A6" s="134" t="str">
        <f>'Fig 7.30'!A6</f>
        <v>2009</v>
      </c>
      <c r="B6" s="100">
        <f>'Fig 7.30'!B6</f>
        <v>0.13040086137944276</v>
      </c>
      <c r="C6" s="100">
        <f>'Fig 7.30'!C6</f>
        <v>0.12043784111945102</v>
      </c>
      <c r="D6" s="100">
        <f>'Fig 7.30'!D6</f>
        <v>-0.39781991024721847</v>
      </c>
      <c r="E6" s="100">
        <f>'Fig 7.30'!E6</f>
        <v>-0.17480967088437266</v>
      </c>
      <c r="F6" s="100">
        <f>'Fig 7.30'!F6</f>
        <v>-5.4067971163748712E-3</v>
      </c>
      <c r="G6" s="100">
        <f>'Fig 7.30'!G6</f>
        <v>9.8367240719059348E-2</v>
      </c>
    </row>
    <row r="7" spans="1:8" x14ac:dyDescent="0.25">
      <c r="A7" s="176" t="str">
        <f>'Fig 7.30'!A7</f>
        <v>2010</v>
      </c>
      <c r="B7" s="101">
        <f>'Fig 7.30'!B7</f>
        <v>5.2641074047396694E-2</v>
      </c>
      <c r="C7" s="101">
        <f>'Fig 7.30'!C7</f>
        <v>4.1903463125373686E-2</v>
      </c>
      <c r="D7" s="101">
        <f>'Fig 7.30'!D7</f>
        <v>-0.11078450103469152</v>
      </c>
      <c r="E7" s="101">
        <f>'Fig 7.30'!E7</f>
        <v>2.6224667876386522E-2</v>
      </c>
      <c r="F7" s="101">
        <f>'Fig 7.30'!F7</f>
        <v>3.498361526879816E-3</v>
      </c>
      <c r="G7" s="101">
        <f>'Fig 7.30'!G7</f>
        <v>3.8355846408083573E-2</v>
      </c>
    </row>
    <row r="8" spans="1:8" x14ac:dyDescent="0.25">
      <c r="A8" s="134" t="str">
        <f>'Fig 7.30'!A8</f>
        <v>2011</v>
      </c>
      <c r="B8" s="100">
        <f>'Fig 7.30'!B8</f>
        <v>-4.0338940148238051E-2</v>
      </c>
      <c r="C8" s="100">
        <f>'Fig 7.30'!C8</f>
        <v>-7.1401519717686018E-2</v>
      </c>
      <c r="D8" s="100">
        <f>'Fig 7.30'!D8</f>
        <v>-3.30017722472946E-2</v>
      </c>
      <c r="E8" s="100">
        <f>'Fig 7.30'!E8</f>
        <v>-0.10647075194211326</v>
      </c>
      <c r="F8" s="100">
        <f>'Fig 7.30'!F8</f>
        <v>3.0935487973311488E-3</v>
      </c>
      <c r="G8" s="100">
        <f>'Fig 7.30'!G8</f>
        <v>-5.9517057776374394E-2</v>
      </c>
    </row>
    <row r="9" spans="1:8" x14ac:dyDescent="0.25">
      <c r="A9" s="176" t="str">
        <f>'Fig 7.30'!A9</f>
        <v>2012</v>
      </c>
      <c r="B9" s="101">
        <f>'Fig 7.30'!B9</f>
        <v>-0.10623027490396696</v>
      </c>
      <c r="C9" s="101">
        <f>'Fig 7.30'!C9</f>
        <v>-0.18570962865959417</v>
      </c>
      <c r="D9" s="101">
        <f>'Fig 7.30'!D9</f>
        <v>-5.6362014371562734E-2</v>
      </c>
      <c r="E9" s="101">
        <f>'Fig 7.30'!E9</f>
        <v>-7.7271119037571473E-2</v>
      </c>
      <c r="F9" s="101">
        <f>'Fig 7.30'!F9</f>
        <v>7.4357103796662014E-4</v>
      </c>
      <c r="G9" s="101">
        <f>'Fig 7.30'!G9</f>
        <v>-0.11867595783156737</v>
      </c>
    </row>
    <row r="10" spans="1:8" x14ac:dyDescent="0.25">
      <c r="A10" s="134" t="str">
        <f>'Fig 7.30'!A10</f>
        <v>2013</v>
      </c>
      <c r="B10" s="100">
        <f>'Fig 7.30'!B10</f>
        <v>-0.11482033864404179</v>
      </c>
      <c r="C10" s="100">
        <f>'Fig 7.30'!C10</f>
        <v>-8.0257711546972602E-2</v>
      </c>
      <c r="D10" s="100">
        <f>'Fig 7.30'!D10</f>
        <v>3.6086661723312499E-2</v>
      </c>
      <c r="E10" s="100">
        <f>'Fig 7.30'!E10</f>
        <v>-2.0317751808569838E-2</v>
      </c>
      <c r="F10" s="100">
        <f>'Fig 7.30'!F10</f>
        <v>-4.9968721354013548E-2</v>
      </c>
      <c r="G10" s="100">
        <f>'Fig 7.30'!G10</f>
        <v>-7.6272305814291563E-2</v>
      </c>
    </row>
    <row r="11" spans="1:8" x14ac:dyDescent="0.25">
      <c r="A11" s="176" t="str">
        <f>'Fig 7.30'!A11</f>
        <v>2014</v>
      </c>
      <c r="B11" s="101">
        <f>'Fig 7.30'!B11</f>
        <v>-4.5332035034953089E-2</v>
      </c>
      <c r="C11" s="101">
        <f>'Fig 7.30'!C11</f>
        <v>-0.10784430895504825</v>
      </c>
      <c r="D11" s="101">
        <f>'Fig 7.30'!D11</f>
        <v>1.501626031564153E-2</v>
      </c>
      <c r="E11" s="101">
        <f>'Fig 7.30'!E11</f>
        <v>-6.763621984105626E-3</v>
      </c>
      <c r="F11" s="101">
        <f>'Fig 7.30'!F11</f>
        <v>1.9813559322033897E-2</v>
      </c>
      <c r="G11" s="101">
        <f>'Fig 7.30'!G11</f>
        <v>-4.950448928050584E-2</v>
      </c>
    </row>
    <row r="12" spans="1:8" x14ac:dyDescent="0.25">
      <c r="A12" s="134" t="str">
        <f>'Fig 7.30'!A12</f>
        <v>2015</v>
      </c>
      <c r="B12" s="100">
        <f>'Fig 7.30'!B12</f>
        <v>-0.11209806990659893</v>
      </c>
      <c r="C12" s="100">
        <f>'Fig 7.30'!C12</f>
        <v>-0.37832857700361006</v>
      </c>
      <c r="D12" s="100">
        <f>'Fig 7.30'!D12</f>
        <v>-0.1193285313882512</v>
      </c>
      <c r="E12" s="100">
        <f>'Fig 7.30'!E12</f>
        <v>-4.7313517357886886E-3</v>
      </c>
      <c r="F12" s="100">
        <f>'Fig 7.30'!F12</f>
        <v>-3.9067956620512607E-2</v>
      </c>
      <c r="G12" s="100">
        <f>'Fig 7.30'!G12</f>
        <v>-0.17668746914841915</v>
      </c>
    </row>
    <row r="13" spans="1:8" x14ac:dyDescent="0.25">
      <c r="A13" s="176" t="str">
        <f>'Fig 7.30'!A13</f>
        <v>2016</v>
      </c>
      <c r="B13" s="101">
        <f>'Fig 7.30'!B13</f>
        <v>-4.7028736778017249E-2</v>
      </c>
      <c r="C13" s="101">
        <f>'Fig 7.30'!C13</f>
        <v>-3.3610966780359956E-2</v>
      </c>
      <c r="D13" s="101">
        <f>'Fig 7.30'!D13</f>
        <v>-8.2319783211956279E-2</v>
      </c>
      <c r="E13" s="101">
        <f>'Fig 7.30'!E13</f>
        <v>-2.4160459313668763E-2</v>
      </c>
      <c r="F13" s="101">
        <f>'Fig 7.30'!F13</f>
        <v>-2.9053739717870758E-2</v>
      </c>
      <c r="G13" s="101">
        <f>'Fig 7.30'!G13</f>
        <v>-4.7937694909784861E-2</v>
      </c>
    </row>
    <row r="14" spans="1:8" x14ac:dyDescent="0.25">
      <c r="A14" s="134">
        <f>'Fig 7.30'!A14</f>
        <v>2017</v>
      </c>
      <c r="B14" s="100">
        <f>'Fig 7.30'!B14</f>
        <v>8.3355802769567149E-3</v>
      </c>
      <c r="C14" s="100">
        <f>'Fig 7.30'!C14</f>
        <v>-3.0104738977778803E-3</v>
      </c>
      <c r="D14" s="100">
        <f>'Fig 7.30'!D14</f>
        <v>3.5864504224787833E-2</v>
      </c>
      <c r="E14" s="100">
        <f>'Fig 7.30'!E14</f>
        <v>1.1805383023446725E-2</v>
      </c>
      <c r="F14" s="100">
        <f>'Fig 7.30'!F14</f>
        <v>1.9572274596141486E-3</v>
      </c>
      <c r="G14" s="100">
        <f>'Fig 7.30'!G14</f>
        <v>1.1422569039471451E-2</v>
      </c>
    </row>
    <row r="15" spans="1:8" x14ac:dyDescent="0.25">
      <c r="A15" s="176" t="str">
        <f>'Fig 7.30'!A15</f>
        <v>2018</v>
      </c>
      <c r="B15" s="101">
        <f>'Fig 7.30'!B15</f>
        <v>-2.7008719373731702E-2</v>
      </c>
      <c r="C15" s="101">
        <f>'Fig 7.30'!C15</f>
        <v>-0.10998435034988154</v>
      </c>
      <c r="D15" s="101">
        <f>'Fig 7.30'!D15</f>
        <v>1.866166762953184E-2</v>
      </c>
      <c r="E15" s="101">
        <f>'Fig 7.30'!E15</f>
        <v>-0.1077192988300282</v>
      </c>
      <c r="F15" s="101">
        <f>'Fig 7.30'!F15</f>
        <v>-2.8974590453461194E-2</v>
      </c>
      <c r="G15" s="101">
        <f>'Fig 7.30'!G15</f>
        <v>-4.6941394398548705E-2</v>
      </c>
    </row>
  </sheetData>
  <mergeCells count="2">
    <mergeCell ref="A3:F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Planilha2"/>
  <dimension ref="A1:P13"/>
  <sheetViews>
    <sheetView workbookViewId="0">
      <selection activeCell="B26" sqref="B26"/>
    </sheetView>
  </sheetViews>
  <sheetFormatPr defaultRowHeight="15" x14ac:dyDescent="0.25"/>
  <cols>
    <col min="2" max="3" width="18" bestFit="1" customWidth="1"/>
    <col min="4" max="4" width="13.28515625" bestFit="1" customWidth="1"/>
    <col min="5" max="6" width="18" bestFit="1" customWidth="1"/>
    <col min="7" max="7" width="19" bestFit="1" customWidth="1"/>
    <col min="11" max="12" width="16.85546875" bestFit="1" customWidth="1"/>
    <col min="13" max="13" width="15.28515625" bestFit="1" customWidth="1"/>
    <col min="14" max="14" width="16.85546875" bestFit="1" customWidth="1"/>
    <col min="15" max="16" width="18" bestFit="1" customWidth="1"/>
  </cols>
  <sheetData>
    <row r="1" spans="1:16" x14ac:dyDescent="0.25">
      <c r="A1" s="322" t="s">
        <v>488</v>
      </c>
      <c r="B1" s="322" t="s">
        <v>879</v>
      </c>
      <c r="C1" s="322"/>
      <c r="D1" s="322"/>
      <c r="E1" s="322"/>
      <c r="F1" s="322"/>
      <c r="G1" s="322"/>
      <c r="J1" s="322" t="s">
        <v>881</v>
      </c>
      <c r="K1" s="322" t="s">
        <v>879</v>
      </c>
      <c r="L1" s="322"/>
      <c r="M1" s="322"/>
      <c r="N1" s="322"/>
      <c r="O1" s="322"/>
      <c r="P1" s="322"/>
    </row>
    <row r="2" spans="1:16" x14ac:dyDescent="0.25">
      <c r="A2" s="323" t="s">
        <v>880</v>
      </c>
      <c r="B2" s="323" t="s">
        <v>60</v>
      </c>
      <c r="C2" s="323" t="s">
        <v>59</v>
      </c>
      <c r="D2" s="323" t="s">
        <v>102</v>
      </c>
      <c r="E2" s="323" t="s">
        <v>61</v>
      </c>
      <c r="F2" s="323" t="s">
        <v>526</v>
      </c>
      <c r="G2" s="323" t="s">
        <v>10</v>
      </c>
      <c r="J2" s="323" t="s">
        <v>880</v>
      </c>
      <c r="K2" s="323" t="s">
        <v>60</v>
      </c>
      <c r="L2" s="323" t="s">
        <v>59</v>
      </c>
      <c r="M2" s="323" t="s">
        <v>102</v>
      </c>
      <c r="N2" s="323" t="s">
        <v>61</v>
      </c>
      <c r="O2" s="323" t="s">
        <v>526</v>
      </c>
      <c r="P2" s="323" t="s">
        <v>10</v>
      </c>
    </row>
    <row r="3" spans="1:16" x14ac:dyDescent="0.25">
      <c r="A3" s="321">
        <v>2009</v>
      </c>
      <c r="B3" s="8">
        <v>2630199166</v>
      </c>
      <c r="C3" s="8">
        <v>38091108922</v>
      </c>
      <c r="D3" s="8">
        <v>0</v>
      </c>
      <c r="E3" s="8">
        <v>2008865973</v>
      </c>
      <c r="F3" s="8">
        <v>63700487597</v>
      </c>
      <c r="G3" s="8">
        <v>114552073179</v>
      </c>
      <c r="J3" s="321">
        <v>2009</v>
      </c>
      <c r="K3" s="8">
        <v>289971666.62</v>
      </c>
      <c r="L3" s="8">
        <v>2946491778.4800014</v>
      </c>
      <c r="M3" s="8">
        <v>459990334.88000023</v>
      </c>
      <c r="N3" s="8">
        <v>274901506.74000001</v>
      </c>
      <c r="O3" s="8">
        <v>7970065421.6000071</v>
      </c>
      <c r="P3" s="8">
        <v>13546646632.670118</v>
      </c>
    </row>
    <row r="4" spans="1:16" x14ac:dyDescent="0.25">
      <c r="A4" s="324">
        <v>2010</v>
      </c>
      <c r="B4" s="325">
        <v>5088593342</v>
      </c>
      <c r="C4" s="325">
        <v>46688941661</v>
      </c>
      <c r="D4" s="325">
        <v>0</v>
      </c>
      <c r="E4" s="325">
        <v>2485981858</v>
      </c>
      <c r="F4" s="325">
        <v>70046650311</v>
      </c>
      <c r="G4" s="325">
        <v>133774871318</v>
      </c>
      <c r="J4" s="324">
        <v>2010</v>
      </c>
      <c r="K4" s="325">
        <v>661772792.52999997</v>
      </c>
      <c r="L4" s="325">
        <v>4312131496.3799915</v>
      </c>
      <c r="M4" s="325">
        <v>526681206.83999985</v>
      </c>
      <c r="N4" s="325">
        <v>262980487.13000008</v>
      </c>
      <c r="O4" s="325">
        <v>8811623449.8000011</v>
      </c>
      <c r="P4" s="325">
        <v>16182311832.380026</v>
      </c>
    </row>
    <row r="5" spans="1:16" x14ac:dyDescent="0.25">
      <c r="A5" s="321">
        <v>2011</v>
      </c>
      <c r="B5" s="8">
        <v>8598516186</v>
      </c>
      <c r="C5" s="8">
        <v>48751870590</v>
      </c>
      <c r="D5" s="8">
        <v>0</v>
      </c>
      <c r="E5" s="8">
        <v>3697484445</v>
      </c>
      <c r="F5" s="8">
        <v>75699977983</v>
      </c>
      <c r="G5" s="8">
        <v>149531692296</v>
      </c>
      <c r="J5" s="321">
        <v>2011</v>
      </c>
      <c r="K5" s="8">
        <v>1179091399.8999999</v>
      </c>
      <c r="L5" s="8">
        <v>4501569977.5199919</v>
      </c>
      <c r="M5" s="8">
        <v>697005239.74000001</v>
      </c>
      <c r="N5" s="8">
        <v>410978673.82999992</v>
      </c>
      <c r="O5" s="8">
        <v>9602593720.699976</v>
      </c>
      <c r="P5" s="8">
        <v>18081214213.860085</v>
      </c>
    </row>
    <row r="6" spans="1:16" x14ac:dyDescent="0.25">
      <c r="A6" s="324">
        <v>2012</v>
      </c>
      <c r="B6" s="325">
        <v>11044025314</v>
      </c>
      <c r="C6" s="325">
        <v>46182164272</v>
      </c>
      <c r="D6" s="325">
        <v>0</v>
      </c>
      <c r="E6" s="325">
        <v>5946533928</v>
      </c>
      <c r="F6" s="325">
        <v>76700855192</v>
      </c>
      <c r="G6" s="325">
        <v>152784973029</v>
      </c>
      <c r="J6" s="324">
        <v>2012</v>
      </c>
      <c r="K6" s="325">
        <v>1415398800.1500003</v>
      </c>
      <c r="L6" s="325">
        <v>4336587754.7899876</v>
      </c>
      <c r="M6" s="325">
        <v>730484990.47000051</v>
      </c>
      <c r="N6" s="325">
        <v>678611895.46000016</v>
      </c>
      <c r="O6" s="325">
        <v>10043538985.800003</v>
      </c>
      <c r="P6" s="325">
        <v>18832736491.530075</v>
      </c>
    </row>
    <row r="7" spans="1:16" x14ac:dyDescent="0.25">
      <c r="A7" s="321">
        <v>2013</v>
      </c>
      <c r="B7" s="8">
        <v>14496952326</v>
      </c>
      <c r="C7" s="8">
        <v>49632931479</v>
      </c>
      <c r="D7" s="8">
        <v>0</v>
      </c>
      <c r="E7" s="8">
        <v>7679367653</v>
      </c>
      <c r="F7" s="8">
        <v>74355999311</v>
      </c>
      <c r="G7" s="8">
        <v>151828484499</v>
      </c>
      <c r="J7" s="321">
        <v>2013</v>
      </c>
      <c r="K7" s="8">
        <v>1833058252.0800002</v>
      </c>
      <c r="L7" s="8">
        <v>4715746044.7699986</v>
      </c>
      <c r="M7" s="8">
        <v>636592678.95000005</v>
      </c>
      <c r="N7" s="8">
        <v>901109260.87000132</v>
      </c>
      <c r="O7" s="8">
        <v>10098810471.799999</v>
      </c>
      <c r="P7" s="8">
        <v>19234686263.410038</v>
      </c>
    </row>
    <row r="8" spans="1:16" x14ac:dyDescent="0.25">
      <c r="A8" s="324">
        <v>2014</v>
      </c>
      <c r="B8" s="325">
        <v>19745991702</v>
      </c>
      <c r="C8" s="325">
        <v>49502695836</v>
      </c>
      <c r="D8" s="325">
        <v>0</v>
      </c>
      <c r="E8" s="325">
        <v>9455422074</v>
      </c>
      <c r="F8" s="325">
        <v>72706648653</v>
      </c>
      <c r="G8" s="325">
        <v>152402221573</v>
      </c>
      <c r="J8" s="324">
        <v>2014</v>
      </c>
      <c r="K8" s="325">
        <v>2358961116.3100023</v>
      </c>
      <c r="L8" s="325">
        <v>4830155621.3599958</v>
      </c>
      <c r="M8" s="325">
        <v>618536287.97000027</v>
      </c>
      <c r="N8" s="325">
        <v>1151072097.2999992</v>
      </c>
      <c r="O8" s="325">
        <v>9734922895.7000046</v>
      </c>
      <c r="P8" s="325">
        <v>19027106887.900063</v>
      </c>
    </row>
    <row r="9" spans="1:16" x14ac:dyDescent="0.25">
      <c r="A9" s="321">
        <v>2015</v>
      </c>
      <c r="B9" s="8">
        <v>23411985898</v>
      </c>
      <c r="C9" s="8">
        <v>49744157231</v>
      </c>
      <c r="D9" s="8">
        <v>0</v>
      </c>
      <c r="E9" s="8">
        <v>10710778974</v>
      </c>
      <c r="F9" s="8">
        <v>73850482143</v>
      </c>
      <c r="G9" s="8">
        <v>158968770328</v>
      </c>
      <c r="J9" s="321">
        <v>2015</v>
      </c>
      <c r="K9" s="8">
        <v>2816967382.820004</v>
      </c>
      <c r="L9" s="8">
        <v>5429156958.2699986</v>
      </c>
      <c r="M9" s="8">
        <v>611673676.44000006</v>
      </c>
      <c r="N9" s="8">
        <v>1433395000.2200003</v>
      </c>
      <c r="O9" s="8">
        <v>9953953463.7000256</v>
      </c>
      <c r="P9" s="8">
        <v>20587750418.520012</v>
      </c>
    </row>
    <row r="10" spans="1:16" x14ac:dyDescent="0.25">
      <c r="A10" s="324">
        <v>2016</v>
      </c>
      <c r="B10" s="325">
        <v>22865913688</v>
      </c>
      <c r="C10" s="325">
        <v>46329602835</v>
      </c>
      <c r="D10" s="325">
        <v>0</v>
      </c>
      <c r="E10" s="325">
        <v>12216135549</v>
      </c>
      <c r="F10" s="325">
        <v>68313559373</v>
      </c>
      <c r="G10" s="325">
        <v>150728601805</v>
      </c>
      <c r="J10" s="324">
        <v>2016</v>
      </c>
      <c r="K10" s="325">
        <v>2975348354.829998</v>
      </c>
      <c r="L10" s="325">
        <v>4964171912.3799877</v>
      </c>
      <c r="M10" s="325">
        <v>548503262.78999996</v>
      </c>
      <c r="N10" s="325">
        <v>1594668847.6499982</v>
      </c>
      <c r="O10" s="325">
        <v>9058620981.8200512</v>
      </c>
      <c r="P10" s="325">
        <v>19500938856.800072</v>
      </c>
    </row>
    <row r="11" spans="1:16" x14ac:dyDescent="0.25">
      <c r="A11" s="321">
        <v>2017</v>
      </c>
      <c r="B11" s="8">
        <v>25299776719</v>
      </c>
      <c r="C11" s="8">
        <v>46695325629</v>
      </c>
      <c r="D11" s="8">
        <v>0</v>
      </c>
      <c r="E11" s="8">
        <v>15177726443</v>
      </c>
      <c r="F11" s="8">
        <v>68599033747</v>
      </c>
      <c r="G11" s="8">
        <v>156484768170</v>
      </c>
      <c r="J11" s="321">
        <v>2017</v>
      </c>
      <c r="K11" s="8">
        <v>2884324621.4800024</v>
      </c>
      <c r="L11" s="8">
        <v>5247401376.2700081</v>
      </c>
      <c r="M11" s="8">
        <v>599547397.0400008</v>
      </c>
      <c r="N11" s="8">
        <v>1993713584.5400002</v>
      </c>
      <c r="O11" s="8">
        <v>9169092762.5000057</v>
      </c>
      <c r="P11" s="8">
        <v>20173643886.680019</v>
      </c>
    </row>
    <row r="12" spans="1:16" x14ac:dyDescent="0.25">
      <c r="A12" s="324">
        <v>2018</v>
      </c>
      <c r="B12" s="325">
        <v>29352086366</v>
      </c>
      <c r="C12" s="325">
        <v>48057785458</v>
      </c>
      <c r="D12" s="325">
        <v>0</v>
      </c>
      <c r="E12" s="325">
        <v>19266470076</v>
      </c>
      <c r="F12" s="325">
        <v>72992374070</v>
      </c>
      <c r="G12" s="325">
        <v>170289259962</v>
      </c>
      <c r="J12" s="324">
        <v>2018</v>
      </c>
      <c r="K12" s="325">
        <v>3383267685.77</v>
      </c>
      <c r="L12" s="325">
        <v>5268793008.8500023</v>
      </c>
      <c r="M12" s="325">
        <v>659359177.39000034</v>
      </c>
      <c r="N12" s="325">
        <v>2589349898.2399974</v>
      </c>
      <c r="O12" s="325">
        <v>9843668698.7999916</v>
      </c>
      <c r="P12" s="325">
        <v>22017423840.630074</v>
      </c>
    </row>
    <row r="13" spans="1:16" x14ac:dyDescent="0.25">
      <c r="A13" s="321">
        <v>2019</v>
      </c>
      <c r="B13" s="8">
        <v>10876446901</v>
      </c>
      <c r="C13" s="8">
        <v>16729327892</v>
      </c>
      <c r="D13" s="8">
        <v>0</v>
      </c>
      <c r="E13" s="8">
        <v>5016926633</v>
      </c>
      <c r="F13" s="8">
        <v>24767515674</v>
      </c>
      <c r="G13" s="8">
        <v>57564936172</v>
      </c>
      <c r="J13" s="321">
        <v>2019</v>
      </c>
      <c r="K13" s="8">
        <v>1231195004.4500008</v>
      </c>
      <c r="L13" s="8">
        <v>1815935835.2399979</v>
      </c>
      <c r="M13" s="8">
        <v>192969667.54999998</v>
      </c>
      <c r="N13" s="8">
        <v>649281926.34999919</v>
      </c>
      <c r="O13" s="8">
        <v>3343619661.4099989</v>
      </c>
      <c r="P13" s="8">
        <v>7314475689.8600092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3"/>
  <dimension ref="A1:H11"/>
  <sheetViews>
    <sheetView showGridLines="0" workbookViewId="0">
      <selection activeCell="B6" sqref="B6:B10"/>
    </sheetView>
  </sheetViews>
  <sheetFormatPr defaultRowHeight="15" x14ac:dyDescent="0.25"/>
  <cols>
    <col min="1" max="1" width="17.7109375" customWidth="1"/>
    <col min="2" max="2" width="26.7109375" customWidth="1"/>
    <col min="3" max="3" width="26" bestFit="1" customWidth="1"/>
  </cols>
  <sheetData>
    <row r="1" spans="1:8" x14ac:dyDescent="0.25">
      <c r="C1" s="78"/>
      <c r="D1" s="78"/>
      <c r="E1" s="78"/>
      <c r="F1" s="78"/>
      <c r="G1" s="78" t="s">
        <v>1144</v>
      </c>
      <c r="H1" s="78" t="s">
        <v>1145</v>
      </c>
    </row>
    <row r="3" spans="1:8" x14ac:dyDescent="0.25">
      <c r="A3" s="350" t="str">
        <f>"Tabela Referente à "&amp;G1</f>
        <v>Tabela Referente à Figura 2.11</v>
      </c>
      <c r="B3" s="350"/>
      <c r="C3" s="350"/>
    </row>
    <row r="4" spans="1:8" ht="18.75" customHeight="1" x14ac:dyDescent="0.25">
      <c r="A4" s="352" t="str">
        <f>H1</f>
        <v>Quantidade de decolagens por região (milhares) – mercado doméstico, 2018</v>
      </c>
      <c r="B4" s="352"/>
      <c r="C4" s="352"/>
    </row>
    <row r="5" spans="1:8" x14ac:dyDescent="0.25">
      <c r="A5" s="1" t="s">
        <v>428</v>
      </c>
      <c r="B5" s="21" t="s">
        <v>487</v>
      </c>
      <c r="C5" s="21" t="s">
        <v>825</v>
      </c>
      <c r="D5" s="113"/>
      <c r="E5" s="113"/>
    </row>
    <row r="6" spans="1:8" x14ac:dyDescent="0.25">
      <c r="A6" s="27" t="s">
        <v>69</v>
      </c>
      <c r="B6" s="7">
        <v>105818</v>
      </c>
      <c r="C6" s="10">
        <v>3.3177113844952158E-2</v>
      </c>
      <c r="D6" s="234"/>
      <c r="E6" s="235"/>
      <c r="F6" s="30"/>
    </row>
    <row r="7" spans="1:8" x14ac:dyDescent="0.25">
      <c r="A7" s="28" t="s">
        <v>67</v>
      </c>
      <c r="B7" s="8">
        <v>142693</v>
      </c>
      <c r="C7" s="11">
        <v>1.0301760149534827E-2</v>
      </c>
      <c r="D7" s="234"/>
      <c r="E7" s="235"/>
      <c r="F7" s="30"/>
    </row>
    <row r="8" spans="1:8" x14ac:dyDescent="0.25">
      <c r="A8" s="27" t="s">
        <v>70</v>
      </c>
      <c r="B8" s="7">
        <v>49246</v>
      </c>
      <c r="C8" s="10">
        <v>1.0360887138138323E-2</v>
      </c>
      <c r="D8" s="234"/>
      <c r="E8" s="235"/>
      <c r="F8" s="30"/>
    </row>
    <row r="9" spans="1:8" x14ac:dyDescent="0.25">
      <c r="A9" s="28" t="s">
        <v>65</v>
      </c>
      <c r="B9" s="8">
        <v>409246</v>
      </c>
      <c r="C9" s="11">
        <v>1.3150663227160873E-2</v>
      </c>
      <c r="D9" s="234"/>
      <c r="E9" s="234"/>
      <c r="F9" s="30"/>
    </row>
    <row r="10" spans="1:8" x14ac:dyDescent="0.25">
      <c r="A10" s="27" t="s">
        <v>68</v>
      </c>
      <c r="B10" s="7">
        <v>108859</v>
      </c>
      <c r="C10" s="10">
        <v>-2.565535693015329E-3</v>
      </c>
      <c r="D10" s="234"/>
      <c r="E10" s="235"/>
      <c r="F10" s="30"/>
    </row>
    <row r="11" spans="1:8" x14ac:dyDescent="0.25">
      <c r="A11" s="1"/>
      <c r="B11" s="1"/>
      <c r="C11" s="1"/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Planilha1"/>
  <dimension ref="A1:R46"/>
  <sheetViews>
    <sheetView workbookViewId="0">
      <selection activeCell="B26" sqref="B26"/>
    </sheetView>
  </sheetViews>
  <sheetFormatPr defaultRowHeight="15" x14ac:dyDescent="0.25"/>
  <cols>
    <col min="1" max="1" width="15.85546875" style="243" bestFit="1" customWidth="1"/>
    <col min="2" max="2" width="18" style="243" bestFit="1" customWidth="1"/>
    <col min="3" max="4" width="16.140625" style="243" bestFit="1" customWidth="1"/>
    <col min="5" max="5" width="17.28515625" style="243" bestFit="1" customWidth="1"/>
    <col min="6" max="6" width="16.140625" style="243" bestFit="1" customWidth="1"/>
    <col min="7" max="7" width="13.5703125" style="243" bestFit="1" customWidth="1"/>
    <col min="8" max="11" width="14.5703125" style="243" bestFit="1" customWidth="1"/>
    <col min="12" max="12" width="17.28515625" style="243" bestFit="1" customWidth="1"/>
    <col min="13" max="13" width="13.5703125" style="243" bestFit="1" customWidth="1"/>
    <col min="14" max="14" width="17.28515625" style="243" bestFit="1" customWidth="1"/>
    <col min="15" max="15" width="17.28515625" style="338" customWidth="1"/>
    <col min="16" max="16" width="17.28515625" style="243" bestFit="1" customWidth="1"/>
    <col min="17" max="17" width="12.7109375" style="243" bestFit="1" customWidth="1"/>
    <col min="18" max="16384" width="9.140625" style="243"/>
  </cols>
  <sheetData>
    <row r="1" spans="1:18" x14ac:dyDescent="0.25">
      <c r="A1" s="247" t="s">
        <v>760</v>
      </c>
      <c r="B1" s="248" t="s">
        <v>526</v>
      </c>
      <c r="C1" s="248" t="s">
        <v>59</v>
      </c>
      <c r="D1" s="248" t="s">
        <v>60</v>
      </c>
      <c r="E1" s="248" t="s">
        <v>61</v>
      </c>
      <c r="F1" s="248" t="s">
        <v>375</v>
      </c>
      <c r="G1" s="248" t="s">
        <v>397</v>
      </c>
      <c r="H1" s="248" t="s">
        <v>376</v>
      </c>
      <c r="I1" s="248" t="s">
        <v>102</v>
      </c>
      <c r="J1" s="248" t="s">
        <v>353</v>
      </c>
      <c r="K1" s="248" t="s">
        <v>528</v>
      </c>
      <c r="L1" s="248" t="s">
        <v>530</v>
      </c>
      <c r="M1" s="248" t="s">
        <v>396</v>
      </c>
      <c r="N1" s="248" t="s">
        <v>529</v>
      </c>
      <c r="O1" s="248" t="s">
        <v>6</v>
      </c>
      <c r="P1" s="248" t="s">
        <v>354</v>
      </c>
      <c r="Q1" s="338"/>
    </row>
    <row r="2" spans="1:18" x14ac:dyDescent="0.25">
      <c r="A2" s="247">
        <v>2009</v>
      </c>
      <c r="B2" s="231">
        <v>8604371.6015400011</v>
      </c>
      <c r="C2" s="231">
        <v>5832428.7112199999</v>
      </c>
      <c r="D2" s="231">
        <v>376590.19054000004</v>
      </c>
      <c r="E2" s="231">
        <v>419159.03538999998</v>
      </c>
      <c r="F2" s="231">
        <v>432560.66763000004</v>
      </c>
      <c r="G2" s="231">
        <v>472894.16517999995</v>
      </c>
      <c r="H2" s="231">
        <v>50327.534</v>
      </c>
      <c r="I2" s="231">
        <v>199589.56721000001</v>
      </c>
      <c r="J2" s="231">
        <v>0</v>
      </c>
      <c r="K2" s="231">
        <v>0</v>
      </c>
      <c r="L2" s="231">
        <v>0</v>
      </c>
      <c r="M2" s="231">
        <v>122522.56353000001</v>
      </c>
      <c r="N2" s="231">
        <v>13347.03038</v>
      </c>
      <c r="O2" s="339"/>
      <c r="P2" s="229">
        <v>16523791.066620002</v>
      </c>
      <c r="Q2" s="338"/>
      <c r="R2" s="338"/>
    </row>
    <row r="3" spans="1:18" x14ac:dyDescent="0.25">
      <c r="A3" s="247">
        <v>2010</v>
      </c>
      <c r="B3" s="231">
        <v>10288871.649550004</v>
      </c>
      <c r="C3" s="231">
        <v>6915529.7589999996</v>
      </c>
      <c r="D3" s="231">
        <v>868998.2607799999</v>
      </c>
      <c r="E3" s="231">
        <v>576442.43971000006</v>
      </c>
      <c r="F3" s="231">
        <v>722358.86389000004</v>
      </c>
      <c r="G3" s="231">
        <v>763537.01165</v>
      </c>
      <c r="H3" s="231">
        <v>106722.12300000001</v>
      </c>
      <c r="I3" s="231">
        <v>519364.15135</v>
      </c>
      <c r="J3" s="231">
        <v>60971.346570000002</v>
      </c>
      <c r="K3" s="231">
        <v>0</v>
      </c>
      <c r="L3" s="231">
        <v>0</v>
      </c>
      <c r="M3" s="231">
        <v>132215.26199</v>
      </c>
      <c r="N3" s="231">
        <v>0</v>
      </c>
      <c r="O3" s="339"/>
      <c r="P3" s="229">
        <v>20955010.867489997</v>
      </c>
      <c r="Q3" s="338"/>
      <c r="R3" s="338"/>
    </row>
    <row r="4" spans="1:18" x14ac:dyDescent="0.25">
      <c r="A4" s="247">
        <v>2011</v>
      </c>
      <c r="B4" s="231">
        <v>11516534.33556</v>
      </c>
      <c r="C4" s="231">
        <v>7182091.3030000003</v>
      </c>
      <c r="D4" s="231">
        <v>1717028.8285899996</v>
      </c>
      <c r="E4" s="231">
        <v>833627.76584999997</v>
      </c>
      <c r="F4" s="231">
        <v>1077313.4713899998</v>
      </c>
      <c r="G4" s="231">
        <v>890517.99954000011</v>
      </c>
      <c r="H4" s="231">
        <v>222539.00399999999</v>
      </c>
      <c r="I4" s="231">
        <v>616023.70143999998</v>
      </c>
      <c r="J4" s="231">
        <v>154391.35338999997</v>
      </c>
      <c r="K4" s="231">
        <v>0</v>
      </c>
      <c r="L4" s="231">
        <v>0</v>
      </c>
      <c r="M4" s="231">
        <v>142119.69992000001</v>
      </c>
      <c r="N4" s="231">
        <v>0</v>
      </c>
      <c r="O4" s="339"/>
      <c r="P4" s="229">
        <v>24352187.462680001</v>
      </c>
      <c r="Q4" s="338"/>
      <c r="R4" s="338"/>
    </row>
    <row r="5" spans="1:18" x14ac:dyDescent="0.25">
      <c r="A5" s="247">
        <v>2012</v>
      </c>
      <c r="B5" s="231">
        <v>12174518.179680003</v>
      </c>
      <c r="C5" s="231">
        <v>7103930.898</v>
      </c>
      <c r="D5" s="231">
        <v>2550174.8905499997</v>
      </c>
      <c r="E5" s="231">
        <v>1319911.38916</v>
      </c>
      <c r="F5" s="231">
        <v>1114715.63154</v>
      </c>
      <c r="G5" s="231">
        <v>933499.10039999976</v>
      </c>
      <c r="H5" s="231">
        <v>148534.139</v>
      </c>
      <c r="I5" s="231">
        <v>817345.21074000001</v>
      </c>
      <c r="J5" s="231">
        <v>231051.62736999997</v>
      </c>
      <c r="K5" s="231">
        <v>0</v>
      </c>
      <c r="L5" s="231">
        <v>0</v>
      </c>
      <c r="M5" s="231">
        <v>144817.15188999998</v>
      </c>
      <c r="N5" s="231">
        <v>0</v>
      </c>
      <c r="O5" s="339"/>
      <c r="P5" s="229">
        <v>26538498.21833</v>
      </c>
      <c r="Q5" s="338"/>
      <c r="R5" s="338"/>
    </row>
    <row r="6" spans="1:18" x14ac:dyDescent="0.25">
      <c r="A6" s="247">
        <v>2013</v>
      </c>
      <c r="B6" s="231">
        <v>13265776.266829999</v>
      </c>
      <c r="C6" s="231">
        <v>8721617.8651899975</v>
      </c>
      <c r="D6" s="231">
        <v>3781508.0985100004</v>
      </c>
      <c r="E6" s="231">
        <v>1796718.50012</v>
      </c>
      <c r="F6" s="231">
        <v>1454459.9959199999</v>
      </c>
      <c r="G6" s="231">
        <v>19332.83660000001</v>
      </c>
      <c r="H6" s="231">
        <v>79579.561000000002</v>
      </c>
      <c r="I6" s="231">
        <v>1003518.1773600002</v>
      </c>
      <c r="J6" s="231">
        <v>746380.59896000021</v>
      </c>
      <c r="K6" s="231">
        <v>0</v>
      </c>
      <c r="L6" s="231">
        <v>0</v>
      </c>
      <c r="M6" s="231">
        <v>127510.78683</v>
      </c>
      <c r="N6" s="231">
        <v>0</v>
      </c>
      <c r="O6" s="339"/>
      <c r="P6" s="229">
        <v>30996402.687319998</v>
      </c>
      <c r="Q6" s="338"/>
      <c r="R6" s="338"/>
    </row>
    <row r="7" spans="1:18" x14ac:dyDescent="0.25">
      <c r="A7" s="247">
        <v>2014</v>
      </c>
      <c r="B7" s="231">
        <v>13871365.139470004</v>
      </c>
      <c r="C7" s="231">
        <v>9661990.2174500003</v>
      </c>
      <c r="D7" s="231">
        <v>5366283.44307</v>
      </c>
      <c r="E7" s="231">
        <v>2219797.1488800002</v>
      </c>
      <c r="F7" s="231">
        <v>439052.58867000003</v>
      </c>
      <c r="G7" s="231">
        <v>1.4460000000000001E-2</v>
      </c>
      <c r="H7" s="231">
        <v>0</v>
      </c>
      <c r="I7" s="231">
        <v>1002999.7358</v>
      </c>
      <c r="J7" s="231">
        <v>0</v>
      </c>
      <c r="K7" s="231">
        <v>0</v>
      </c>
      <c r="L7" s="231">
        <v>0</v>
      </c>
      <c r="M7" s="231">
        <v>96940.840650000013</v>
      </c>
      <c r="N7" s="231">
        <v>0</v>
      </c>
      <c r="O7" s="339"/>
      <c r="P7" s="229">
        <v>32658429.12845001</v>
      </c>
      <c r="Q7" s="338"/>
      <c r="R7" s="338"/>
    </row>
    <row r="8" spans="1:18" x14ac:dyDescent="0.25">
      <c r="A8" s="247">
        <v>2015</v>
      </c>
      <c r="B8" s="231">
        <v>14503764.941049999</v>
      </c>
      <c r="C8" s="231">
        <v>9725923.81666</v>
      </c>
      <c r="D8" s="231">
        <v>6646715.9493000004</v>
      </c>
      <c r="E8" s="231">
        <v>2778804.301</v>
      </c>
      <c r="F8" s="231">
        <v>0</v>
      </c>
      <c r="G8" s="231">
        <v>284.83190999999999</v>
      </c>
      <c r="H8" s="231">
        <v>0</v>
      </c>
      <c r="I8" s="231">
        <v>1079192.8488099999</v>
      </c>
      <c r="J8" s="231">
        <v>161337.26790000001</v>
      </c>
      <c r="K8" s="231">
        <v>161955.04669999998</v>
      </c>
      <c r="L8" s="231">
        <v>60685.611299999997</v>
      </c>
      <c r="M8" s="231">
        <v>113950.60759999999</v>
      </c>
      <c r="N8" s="231">
        <v>0</v>
      </c>
      <c r="O8" s="339"/>
      <c r="P8" s="229">
        <v>35232615.222230002</v>
      </c>
      <c r="Q8" s="338"/>
      <c r="R8" s="338"/>
    </row>
    <row r="9" spans="1:18" x14ac:dyDescent="0.25">
      <c r="A9" s="247"/>
      <c r="Q9" s="338"/>
      <c r="R9" s="338"/>
    </row>
    <row r="10" spans="1:18" x14ac:dyDescent="0.25">
      <c r="A10" s="247"/>
      <c r="B10" s="248" t="s">
        <v>716</v>
      </c>
      <c r="C10" s="248" t="s">
        <v>60</v>
      </c>
      <c r="D10" s="248" t="s">
        <v>59</v>
      </c>
      <c r="E10" s="248" t="s">
        <v>527</v>
      </c>
      <c r="F10" s="248" t="s">
        <v>61</v>
      </c>
      <c r="G10" s="248" t="s">
        <v>353</v>
      </c>
      <c r="H10" s="248" t="s">
        <v>528</v>
      </c>
      <c r="I10" s="248" t="s">
        <v>717</v>
      </c>
      <c r="J10" s="248" t="s">
        <v>531</v>
      </c>
      <c r="K10" s="248" t="s">
        <v>343</v>
      </c>
      <c r="L10" s="248" t="s">
        <v>526</v>
      </c>
      <c r="M10" s="248" t="s">
        <v>396</v>
      </c>
      <c r="N10" s="248"/>
      <c r="O10" s="248"/>
      <c r="P10" s="248" t="s">
        <v>354</v>
      </c>
      <c r="Q10" s="338"/>
      <c r="R10" s="338"/>
    </row>
    <row r="11" spans="1:18" x14ac:dyDescent="0.25">
      <c r="A11" s="247">
        <v>2016</v>
      </c>
      <c r="B11" s="229">
        <v>28</v>
      </c>
      <c r="C11" s="229">
        <v>7020909.1792399995</v>
      </c>
      <c r="D11" s="229">
        <v>9605521.8062199987</v>
      </c>
      <c r="E11" s="229">
        <v>897054.10078999994</v>
      </c>
      <c r="F11" s="229">
        <v>3133434.6209999998</v>
      </c>
      <c r="G11" s="229">
        <v>67679.230779999998</v>
      </c>
      <c r="H11" s="229">
        <v>294579.55325</v>
      </c>
      <c r="I11" s="229">
        <v>1057.6611599999999</v>
      </c>
      <c r="J11" s="229">
        <v>13120.49085</v>
      </c>
      <c r="K11" s="229">
        <v>0</v>
      </c>
      <c r="L11" s="229">
        <v>14304643.315879999</v>
      </c>
      <c r="M11" s="229">
        <v>141420.22388999999</v>
      </c>
      <c r="P11" s="229">
        <v>35479448.183059998</v>
      </c>
      <c r="Q11" s="338"/>
      <c r="R11" s="338"/>
    </row>
    <row r="12" spans="1:18" x14ac:dyDescent="0.25">
      <c r="A12" s="247"/>
      <c r="Q12" s="338"/>
      <c r="R12" s="338"/>
    </row>
    <row r="13" spans="1:18" x14ac:dyDescent="0.25">
      <c r="A13" s="247"/>
      <c r="B13" s="248" t="s">
        <v>60</v>
      </c>
      <c r="C13" s="248" t="s">
        <v>61</v>
      </c>
      <c r="D13" s="248" t="s">
        <v>59</v>
      </c>
      <c r="E13" s="248" t="s">
        <v>526</v>
      </c>
      <c r="F13" s="248" t="s">
        <v>527</v>
      </c>
      <c r="G13" s="248"/>
      <c r="H13" s="248"/>
      <c r="I13" s="248"/>
      <c r="J13" s="248"/>
      <c r="K13" s="248"/>
      <c r="L13" s="248"/>
      <c r="M13" s="248"/>
      <c r="N13" s="248"/>
      <c r="O13" s="248"/>
      <c r="P13" s="248" t="s">
        <v>354</v>
      </c>
      <c r="Q13" s="338"/>
      <c r="R13" s="338"/>
    </row>
    <row r="14" spans="1:18" x14ac:dyDescent="0.25">
      <c r="A14" s="247">
        <v>2017</v>
      </c>
      <c r="B14" s="229">
        <v>8101143.3493800005</v>
      </c>
      <c r="C14" s="229">
        <v>3728755.3330000001</v>
      </c>
      <c r="D14" s="229">
        <v>10087696.073340001</v>
      </c>
      <c r="E14" s="229">
        <v>14996690.15738</v>
      </c>
      <c r="F14" s="229">
        <v>0</v>
      </c>
      <c r="G14" s="229"/>
      <c r="H14" s="229"/>
      <c r="I14" s="229"/>
      <c r="J14" s="229"/>
      <c r="K14" s="229"/>
      <c r="L14" s="229"/>
      <c r="M14" s="229"/>
      <c r="P14" s="229">
        <v>36034829.197290003</v>
      </c>
    </row>
    <row r="15" spans="1:18" s="341" customFormat="1" x14ac:dyDescent="0.25">
      <c r="A15" s="247"/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P15" s="229"/>
    </row>
    <row r="16" spans="1:18" x14ac:dyDescent="0.25">
      <c r="B16" s="8"/>
    </row>
    <row r="17" spans="1:16" x14ac:dyDescent="0.25">
      <c r="A17" s="249" t="s">
        <v>883</v>
      </c>
      <c r="B17" s="248" t="s">
        <v>526</v>
      </c>
      <c r="C17" s="248" t="s">
        <v>59</v>
      </c>
      <c r="D17" s="248" t="s">
        <v>60</v>
      </c>
      <c r="E17" s="248" t="s">
        <v>61</v>
      </c>
      <c r="F17" s="248" t="s">
        <v>375</v>
      </c>
      <c r="G17" s="248" t="s">
        <v>397</v>
      </c>
      <c r="H17" s="248" t="s">
        <v>376</v>
      </c>
      <c r="I17" s="248" t="s">
        <v>102</v>
      </c>
      <c r="J17" s="248" t="s">
        <v>353</v>
      </c>
      <c r="K17" s="248" t="s">
        <v>528</v>
      </c>
      <c r="L17" s="248" t="s">
        <v>530</v>
      </c>
      <c r="M17" s="248" t="s">
        <v>396</v>
      </c>
      <c r="N17" s="248" t="s">
        <v>529</v>
      </c>
      <c r="O17" s="248" t="s">
        <v>6</v>
      </c>
      <c r="P17" s="248" t="s">
        <v>354</v>
      </c>
    </row>
    <row r="18" spans="1:16" x14ac:dyDescent="0.25">
      <c r="A18" s="249">
        <v>2009</v>
      </c>
      <c r="B18" s="337">
        <v>7571424.3953799997</v>
      </c>
      <c r="C18" s="337">
        <v>5209887.6370000001</v>
      </c>
      <c r="D18" s="337">
        <v>350613.24479999999</v>
      </c>
      <c r="E18" s="337">
        <v>372561.12255000009</v>
      </c>
      <c r="F18" s="337">
        <v>406075.59074000001</v>
      </c>
      <c r="G18" s="337">
        <v>442622.92517000006</v>
      </c>
      <c r="H18" s="337">
        <v>49029.078999999998</v>
      </c>
      <c r="I18" s="337">
        <v>0</v>
      </c>
      <c r="J18" s="337">
        <v>0</v>
      </c>
      <c r="K18" s="337">
        <v>0</v>
      </c>
      <c r="L18" s="337">
        <v>0</v>
      </c>
      <c r="M18" s="337">
        <v>0</v>
      </c>
      <c r="N18" s="337">
        <v>0</v>
      </c>
      <c r="O18" s="337">
        <f>P18-SUM(B18:N18)</f>
        <v>0</v>
      </c>
      <c r="P18" s="8">
        <v>14402213.99464</v>
      </c>
    </row>
    <row r="19" spans="1:16" x14ac:dyDescent="0.25">
      <c r="A19" s="249">
        <v>2010</v>
      </c>
      <c r="B19" s="337">
        <v>9038355.3053399976</v>
      </c>
      <c r="C19" s="337">
        <v>6076234.5990000004</v>
      </c>
      <c r="D19" s="337">
        <v>786233.96505999996</v>
      </c>
      <c r="E19" s="337">
        <v>513190.42210000003</v>
      </c>
      <c r="F19" s="337">
        <v>661677.58112999995</v>
      </c>
      <c r="G19" s="337">
        <v>692507.43817999994</v>
      </c>
      <c r="H19" s="337">
        <v>103229.17</v>
      </c>
      <c r="I19" s="337">
        <v>0</v>
      </c>
      <c r="J19" s="337">
        <v>0</v>
      </c>
      <c r="K19" s="337">
        <v>0</v>
      </c>
      <c r="L19" s="337">
        <v>0</v>
      </c>
      <c r="M19" s="337">
        <v>0</v>
      </c>
      <c r="N19" s="337">
        <v>0</v>
      </c>
      <c r="O19" s="337">
        <f t="shared" ref="O19:O27" si="0">P19-SUM(B19:N19)</f>
        <v>0</v>
      </c>
      <c r="P19" s="8">
        <v>17871428.480810001</v>
      </c>
    </row>
    <row r="20" spans="1:16" x14ac:dyDescent="0.25">
      <c r="A20" s="249">
        <v>2011</v>
      </c>
      <c r="B20" s="337">
        <v>10248163.031869998</v>
      </c>
      <c r="C20" s="337">
        <v>6326344.7139999997</v>
      </c>
      <c r="D20" s="337">
        <v>1557367.80055</v>
      </c>
      <c r="E20" s="337">
        <v>770856.38525000005</v>
      </c>
      <c r="F20" s="337">
        <v>951586.77930000005</v>
      </c>
      <c r="G20" s="337">
        <v>786294.75929000007</v>
      </c>
      <c r="H20" s="337">
        <v>219263.06599999999</v>
      </c>
      <c r="I20" s="337">
        <v>0</v>
      </c>
      <c r="J20" s="337">
        <v>0</v>
      </c>
      <c r="K20" s="337">
        <v>0</v>
      </c>
      <c r="L20" s="337">
        <v>0</v>
      </c>
      <c r="M20" s="337">
        <v>0</v>
      </c>
      <c r="N20" s="337">
        <v>0</v>
      </c>
      <c r="O20" s="337">
        <f t="shared" si="0"/>
        <v>0</v>
      </c>
      <c r="P20" s="8">
        <v>20859876.536259994</v>
      </c>
    </row>
    <row r="21" spans="1:16" x14ac:dyDescent="0.25">
      <c r="A21" s="249">
        <v>2012</v>
      </c>
      <c r="B21" s="337">
        <v>11222798.309719998</v>
      </c>
      <c r="C21" s="337">
        <v>6193503.8470000001</v>
      </c>
      <c r="D21" s="337">
        <v>2298700.3771100002</v>
      </c>
      <c r="E21" s="337">
        <v>1235726.6022900001</v>
      </c>
      <c r="F21" s="337">
        <v>981447.86248000013</v>
      </c>
      <c r="G21" s="337">
        <v>816505.92285999993</v>
      </c>
      <c r="H21" s="337">
        <v>147407.079</v>
      </c>
      <c r="I21" s="337">
        <v>0</v>
      </c>
      <c r="J21" s="337">
        <v>0</v>
      </c>
      <c r="K21" s="337">
        <v>0</v>
      </c>
      <c r="L21" s="337">
        <v>0</v>
      </c>
      <c r="M21" s="337">
        <v>0</v>
      </c>
      <c r="N21" s="337">
        <v>0</v>
      </c>
      <c r="O21" s="337">
        <f t="shared" si="0"/>
        <v>0</v>
      </c>
      <c r="P21" s="8">
        <v>22896090.000459999</v>
      </c>
    </row>
    <row r="22" spans="1:16" x14ac:dyDescent="0.25">
      <c r="A22" s="249">
        <v>2013</v>
      </c>
      <c r="B22" s="337">
        <v>12167783.299779996</v>
      </c>
      <c r="C22" s="337">
        <v>7823750.4038000004</v>
      </c>
      <c r="D22" s="337">
        <v>3375932.0126200002</v>
      </c>
      <c r="E22" s="337">
        <v>1700429.3560299999</v>
      </c>
      <c r="F22" s="337">
        <v>1347783.76085</v>
      </c>
      <c r="G22" s="337">
        <v>46.493490000000023</v>
      </c>
      <c r="H22" s="337">
        <v>79579.561000000002</v>
      </c>
      <c r="I22" s="337">
        <v>0</v>
      </c>
      <c r="J22" s="337">
        <v>2E-3</v>
      </c>
      <c r="K22" s="337">
        <v>0</v>
      </c>
      <c r="L22" s="337">
        <v>0</v>
      </c>
      <c r="M22" s="337">
        <v>3262.8691600000002</v>
      </c>
      <c r="N22" s="337">
        <v>0</v>
      </c>
      <c r="O22" s="337">
        <f t="shared" si="0"/>
        <v>0</v>
      </c>
      <c r="P22" s="8">
        <v>26498567.758729994</v>
      </c>
    </row>
    <row r="23" spans="1:16" x14ac:dyDescent="0.25">
      <c r="A23" s="249">
        <v>2014</v>
      </c>
      <c r="B23" s="337">
        <v>12582903.140009997</v>
      </c>
      <c r="C23" s="337">
        <v>8629888.9814600013</v>
      </c>
      <c r="D23" s="337">
        <v>4707421.4791599996</v>
      </c>
      <c r="E23" s="337">
        <v>2113428.5138300005</v>
      </c>
      <c r="F23" s="337">
        <v>407627.57723</v>
      </c>
      <c r="G23" s="337">
        <v>1.4450000000000001E-2</v>
      </c>
      <c r="H23" s="337">
        <v>0</v>
      </c>
      <c r="I23" s="337">
        <v>0</v>
      </c>
      <c r="J23" s="337">
        <v>0</v>
      </c>
      <c r="K23" s="337">
        <v>0</v>
      </c>
      <c r="L23" s="337">
        <v>0</v>
      </c>
      <c r="M23" s="337">
        <v>0</v>
      </c>
      <c r="N23" s="337">
        <v>0</v>
      </c>
      <c r="O23" s="337">
        <f t="shared" si="0"/>
        <v>0</v>
      </c>
      <c r="P23" s="8">
        <v>28441269.706139997</v>
      </c>
    </row>
    <row r="24" spans="1:16" x14ac:dyDescent="0.25">
      <c r="A24" s="249">
        <v>2015</v>
      </c>
      <c r="B24" s="337">
        <v>12519712.540239999</v>
      </c>
      <c r="C24" s="337">
        <v>8295445.0552499993</v>
      </c>
      <c r="D24" s="337">
        <v>5797536.7221899992</v>
      </c>
      <c r="E24" s="337">
        <v>2358671.95652</v>
      </c>
      <c r="F24" s="337">
        <v>0</v>
      </c>
      <c r="G24" s="337">
        <v>0</v>
      </c>
      <c r="H24" s="337">
        <v>0</v>
      </c>
      <c r="I24" s="337">
        <v>0</v>
      </c>
      <c r="J24" s="337">
        <v>0</v>
      </c>
      <c r="K24" s="337">
        <v>0</v>
      </c>
      <c r="L24" s="337">
        <v>0</v>
      </c>
      <c r="M24" s="337">
        <v>49037.610930000003</v>
      </c>
      <c r="N24" s="337">
        <v>0</v>
      </c>
      <c r="O24" s="337">
        <f t="shared" si="0"/>
        <v>0</v>
      </c>
      <c r="P24" s="8">
        <v>29020403.885129996</v>
      </c>
    </row>
    <row r="25" spans="1:16" x14ac:dyDescent="0.25">
      <c r="A25" s="249">
        <v>2016</v>
      </c>
      <c r="B25" s="8">
        <v>12423771.43048</v>
      </c>
      <c r="C25" s="8">
        <v>8513112.3443699982</v>
      </c>
      <c r="D25" s="8">
        <v>6100342.6498499997</v>
      </c>
      <c r="E25" s="8">
        <v>2665473.0214400003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49422.884439999994</v>
      </c>
      <c r="N25" s="8">
        <v>0</v>
      </c>
      <c r="O25" s="337">
        <f t="shared" si="0"/>
        <v>245.06321000307798</v>
      </c>
      <c r="P25" s="8">
        <v>29752367.393789999</v>
      </c>
    </row>
    <row r="26" spans="1:16" x14ac:dyDescent="0.25">
      <c r="A26" s="249">
        <v>2017</v>
      </c>
      <c r="B26" s="337">
        <v>12779167.659260001</v>
      </c>
      <c r="C26" s="337">
        <v>8914099.4706500005</v>
      </c>
      <c r="D26" s="337">
        <v>7050746.0683399998</v>
      </c>
      <c r="E26" s="337">
        <v>3118970.571</v>
      </c>
      <c r="F26" s="337">
        <v>0</v>
      </c>
      <c r="G26" s="337">
        <v>0</v>
      </c>
      <c r="H26" s="337">
        <v>0</v>
      </c>
      <c r="I26" s="337">
        <v>0</v>
      </c>
      <c r="J26" s="337">
        <v>0</v>
      </c>
      <c r="K26" s="337">
        <v>0</v>
      </c>
      <c r="L26" s="337">
        <v>0</v>
      </c>
      <c r="M26" s="337">
        <v>0</v>
      </c>
      <c r="N26" s="337">
        <v>0</v>
      </c>
      <c r="O26" s="337">
        <f t="shared" si="0"/>
        <v>-14424.850589998066</v>
      </c>
      <c r="P26" s="8">
        <v>31848558.91866</v>
      </c>
    </row>
    <row r="27" spans="1:16" x14ac:dyDescent="0.25">
      <c r="A27" s="249">
        <v>2018</v>
      </c>
      <c r="B27" s="337">
        <v>14119800.4527</v>
      </c>
      <c r="C27" s="337">
        <v>9806472.901039999</v>
      </c>
      <c r="D27" s="337">
        <v>8309942.6375499992</v>
      </c>
      <c r="E27" s="337">
        <v>3798613.2059999998</v>
      </c>
      <c r="F27" s="337">
        <v>0</v>
      </c>
      <c r="G27" s="337">
        <v>0</v>
      </c>
      <c r="H27" s="337">
        <v>0</v>
      </c>
      <c r="I27" s="337">
        <v>0</v>
      </c>
      <c r="J27" s="337">
        <v>0</v>
      </c>
      <c r="K27" s="337">
        <v>0</v>
      </c>
      <c r="L27" s="337">
        <v>0</v>
      </c>
      <c r="M27" s="337">
        <v>0</v>
      </c>
      <c r="N27" s="337">
        <v>0</v>
      </c>
      <c r="O27" s="337">
        <f t="shared" si="0"/>
        <v>0</v>
      </c>
      <c r="P27" s="8">
        <v>36034829.197290003</v>
      </c>
    </row>
    <row r="28" spans="1:16" x14ac:dyDescent="0.25">
      <c r="A28" s="330"/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7"/>
    </row>
    <row r="29" spans="1:16" x14ac:dyDescent="0.25">
      <c r="A29" s="330"/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P29" s="330"/>
    </row>
    <row r="30" spans="1:16" x14ac:dyDescent="0.25">
      <c r="A30" s="330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P30" s="231"/>
    </row>
    <row r="32" spans="1:16" x14ac:dyDescent="0.25">
      <c r="A32" s="250" t="s">
        <v>884</v>
      </c>
      <c r="B32" s="248" t="s">
        <v>526</v>
      </c>
      <c r="C32" s="248" t="s">
        <v>59</v>
      </c>
      <c r="D32" s="248" t="s">
        <v>60</v>
      </c>
      <c r="E32" s="248" t="s">
        <v>61</v>
      </c>
      <c r="F32" s="248" t="s">
        <v>375</v>
      </c>
      <c r="G32" s="248" t="s">
        <v>397</v>
      </c>
      <c r="H32" s="248" t="s">
        <v>376</v>
      </c>
      <c r="I32" s="248" t="s">
        <v>102</v>
      </c>
      <c r="J32" s="248" t="s">
        <v>353</v>
      </c>
      <c r="K32" s="248" t="s">
        <v>528</v>
      </c>
      <c r="L32" s="248" t="s">
        <v>530</v>
      </c>
      <c r="M32" s="248" t="s">
        <v>396</v>
      </c>
      <c r="N32" s="248" t="s">
        <v>529</v>
      </c>
      <c r="O32" s="248" t="s">
        <v>6</v>
      </c>
      <c r="P32" s="248" t="s">
        <v>354</v>
      </c>
    </row>
    <row r="33" spans="1:16" x14ac:dyDescent="0.25">
      <c r="A33" s="250">
        <v>2009</v>
      </c>
      <c r="B33" s="8">
        <v>7191440.5660300003</v>
      </c>
      <c r="C33" s="8">
        <v>4642400.0536199994</v>
      </c>
      <c r="D33" s="8">
        <v>398378.19748999999</v>
      </c>
      <c r="E33" s="8">
        <v>401268.01362000004</v>
      </c>
      <c r="F33" s="8">
        <v>351066.73832000006</v>
      </c>
      <c r="G33" s="8">
        <v>474691.81793000002</v>
      </c>
      <c r="H33" s="8">
        <v>47095.144999999997</v>
      </c>
      <c r="I33" s="8">
        <v>175984.72638999997</v>
      </c>
      <c r="J33" s="8">
        <v>0</v>
      </c>
      <c r="K33" s="8">
        <v>0</v>
      </c>
      <c r="L33" s="8">
        <v>0</v>
      </c>
      <c r="M33" s="8">
        <v>103893.25910999998</v>
      </c>
      <c r="N33" s="8">
        <v>16530.162120000001</v>
      </c>
      <c r="O33" s="337">
        <f t="shared" ref="O33:O42" si="1">P33-SUM(B33:N33)</f>
        <v>0</v>
      </c>
      <c r="P33" s="8">
        <v>13802748.679629998</v>
      </c>
    </row>
    <row r="34" spans="1:16" x14ac:dyDescent="0.25">
      <c r="A34" s="250">
        <v>2010</v>
      </c>
      <c r="B34" s="8">
        <v>8027315.3322899975</v>
      </c>
      <c r="C34" s="8">
        <v>5182652.4050000003</v>
      </c>
      <c r="D34" s="8">
        <v>758198.11998000008</v>
      </c>
      <c r="E34" s="8">
        <v>506301.93012000003</v>
      </c>
      <c r="F34" s="8">
        <v>608553.8637000001</v>
      </c>
      <c r="G34" s="8">
        <v>634682.17985999992</v>
      </c>
      <c r="H34" s="8">
        <v>98753.111039999989</v>
      </c>
      <c r="I34" s="8">
        <v>503921.64429999999</v>
      </c>
      <c r="J34" s="8">
        <v>44383.362440000004</v>
      </c>
      <c r="K34" s="8">
        <v>0</v>
      </c>
      <c r="L34" s="8">
        <v>0</v>
      </c>
      <c r="M34" s="8">
        <v>112331.22931</v>
      </c>
      <c r="N34" s="8">
        <v>0</v>
      </c>
      <c r="O34" s="337">
        <f t="shared" si="1"/>
        <v>0</v>
      </c>
      <c r="P34" s="8">
        <v>16477093.17804</v>
      </c>
    </row>
    <row r="35" spans="1:16" x14ac:dyDescent="0.25">
      <c r="A35" s="250">
        <v>2011</v>
      </c>
      <c r="B35" s="8">
        <v>9205489.6706300005</v>
      </c>
      <c r="C35" s="8">
        <v>6100517.1359999999</v>
      </c>
      <c r="D35" s="8">
        <v>1437726.5212900001</v>
      </c>
      <c r="E35" s="8">
        <v>753142.46264000027</v>
      </c>
      <c r="F35" s="8">
        <v>1030478.2919699998</v>
      </c>
      <c r="G35" s="8">
        <v>941029.76489999995</v>
      </c>
      <c r="H35" s="8">
        <v>255932.83609999999</v>
      </c>
      <c r="I35" s="8">
        <v>601445.54046000005</v>
      </c>
      <c r="J35" s="8">
        <v>162093.82637999998</v>
      </c>
      <c r="K35" s="8">
        <v>0</v>
      </c>
      <c r="L35" s="8">
        <v>0</v>
      </c>
      <c r="M35" s="8">
        <v>128138.37714000001</v>
      </c>
      <c r="N35" s="8">
        <v>0</v>
      </c>
      <c r="O35" s="337">
        <f t="shared" si="1"/>
        <v>0</v>
      </c>
      <c r="P35" s="8">
        <v>20615994.427510001</v>
      </c>
    </row>
    <row r="36" spans="1:16" x14ac:dyDescent="0.25">
      <c r="A36" s="250">
        <v>2012</v>
      </c>
      <c r="B36" s="8">
        <v>11210295.787509998</v>
      </c>
      <c r="C36" s="8">
        <v>6736661.8219999997</v>
      </c>
      <c r="D36" s="8">
        <v>2172560.00263</v>
      </c>
      <c r="E36" s="8">
        <v>1185948.7818</v>
      </c>
      <c r="F36" s="8">
        <v>1044350.45724</v>
      </c>
      <c r="G36" s="8">
        <v>976320.01818999997</v>
      </c>
      <c r="H36" s="8">
        <v>136988.39724000002</v>
      </c>
      <c r="I36" s="8">
        <v>806138.88105999993</v>
      </c>
      <c r="J36" s="8">
        <v>209172.83744999999</v>
      </c>
      <c r="K36" s="8">
        <v>0</v>
      </c>
      <c r="L36" s="8">
        <v>0</v>
      </c>
      <c r="M36" s="8">
        <v>128365.39181</v>
      </c>
      <c r="N36" s="8">
        <v>0</v>
      </c>
      <c r="O36" s="337">
        <f t="shared" si="1"/>
        <v>0</v>
      </c>
      <c r="P36" s="8">
        <v>24606802.376929998</v>
      </c>
    </row>
    <row r="37" spans="1:16" x14ac:dyDescent="0.25">
      <c r="A37" s="250">
        <v>2013</v>
      </c>
      <c r="B37" s="8">
        <v>11624032.18719</v>
      </c>
      <c r="C37" s="8">
        <v>7290590.027350001</v>
      </c>
      <c r="D37" s="8">
        <v>2896428.4124400001</v>
      </c>
      <c r="E37" s="8">
        <v>1519247.2329599999</v>
      </c>
      <c r="F37" s="8">
        <v>1212851.7353000001</v>
      </c>
      <c r="G37" s="8">
        <v>83976.229009999995</v>
      </c>
      <c r="H37" s="8">
        <v>72744.686199999996</v>
      </c>
      <c r="I37" s="8">
        <v>976751.35557000013</v>
      </c>
      <c r="J37" s="8">
        <v>222190.73110999999</v>
      </c>
      <c r="K37" s="8">
        <v>0</v>
      </c>
      <c r="L37" s="8">
        <v>0</v>
      </c>
      <c r="M37" s="8">
        <v>98666.121009999988</v>
      </c>
      <c r="N37" s="8">
        <v>0</v>
      </c>
      <c r="O37" s="337">
        <f t="shared" si="1"/>
        <v>0</v>
      </c>
      <c r="P37" s="8">
        <v>25997478.718140002</v>
      </c>
    </row>
    <row r="38" spans="1:16" x14ac:dyDescent="0.25">
      <c r="A38" s="250">
        <v>2014</v>
      </c>
      <c r="B38" s="8">
        <v>12185532.824389996</v>
      </c>
      <c r="C38" s="8">
        <v>7905730.2818099996</v>
      </c>
      <c r="D38" s="8">
        <v>4290311.84069</v>
      </c>
      <c r="E38" s="8">
        <v>1912867.6194200001</v>
      </c>
      <c r="F38" s="8">
        <v>356187.29443000001</v>
      </c>
      <c r="G38" s="8">
        <v>12854.37989</v>
      </c>
      <c r="H38" s="8">
        <v>0</v>
      </c>
      <c r="I38" s="8">
        <v>966594.14490000007</v>
      </c>
      <c r="J38" s="8">
        <v>0</v>
      </c>
      <c r="K38" s="8">
        <v>0</v>
      </c>
      <c r="L38" s="8">
        <v>0</v>
      </c>
      <c r="M38" s="8">
        <v>77240.422659999997</v>
      </c>
      <c r="N38" s="8">
        <v>0</v>
      </c>
      <c r="O38" s="337">
        <f t="shared" si="1"/>
        <v>0</v>
      </c>
      <c r="P38" s="8">
        <v>27707318.808189996</v>
      </c>
    </row>
    <row r="39" spans="1:16" x14ac:dyDescent="0.25">
      <c r="A39" s="250">
        <v>2015</v>
      </c>
      <c r="B39" s="8">
        <v>12649757.441260001</v>
      </c>
      <c r="C39" s="8">
        <v>8246577.2322500004</v>
      </c>
      <c r="D39" s="8">
        <v>5892510.3866600003</v>
      </c>
      <c r="E39" s="8">
        <v>2136853.9999299999</v>
      </c>
      <c r="F39" s="8">
        <v>0</v>
      </c>
      <c r="G39" s="8">
        <v>28953.965559999997</v>
      </c>
      <c r="H39" s="8">
        <v>0</v>
      </c>
      <c r="I39" s="8">
        <v>981081.19591000001</v>
      </c>
      <c r="J39" s="8">
        <v>133424.70217</v>
      </c>
      <c r="K39" s="8">
        <v>107202.55112999999</v>
      </c>
      <c r="L39" s="8">
        <v>46334.474040000001</v>
      </c>
      <c r="M39" s="8">
        <v>77104.66062000001</v>
      </c>
      <c r="N39" s="8">
        <v>0</v>
      </c>
      <c r="O39" s="337">
        <f t="shared" si="1"/>
        <v>0</v>
      </c>
      <c r="P39" s="8">
        <v>30299800.609529998</v>
      </c>
    </row>
    <row r="40" spans="1:16" x14ac:dyDescent="0.25">
      <c r="A40" s="250">
        <v>2016</v>
      </c>
      <c r="B40" s="8">
        <v>12139869.58388</v>
      </c>
      <c r="C40" s="8">
        <v>6951156.64903</v>
      </c>
      <c r="D40" s="8">
        <v>5724054.7912600003</v>
      </c>
      <c r="E40" s="8">
        <v>2403063</v>
      </c>
      <c r="F40" s="8">
        <v>0</v>
      </c>
      <c r="G40" s="8">
        <v>0</v>
      </c>
      <c r="H40" s="8">
        <v>0</v>
      </c>
      <c r="I40" s="8">
        <v>841047.94744000002</v>
      </c>
      <c r="J40" s="8">
        <v>58245.998310000003</v>
      </c>
      <c r="K40" s="8">
        <v>195537.55334000001</v>
      </c>
      <c r="L40" s="8">
        <v>0</v>
      </c>
      <c r="M40" s="8">
        <v>97223.708069999993</v>
      </c>
      <c r="N40" s="8">
        <v>0</v>
      </c>
      <c r="O40" s="337">
        <f t="shared" si="1"/>
        <v>12446.632399998605</v>
      </c>
      <c r="P40" s="8">
        <v>28422645.863729995</v>
      </c>
    </row>
    <row r="41" spans="1:16" x14ac:dyDescent="0.25">
      <c r="A41" s="250">
        <v>2017</v>
      </c>
      <c r="B41" s="8">
        <v>12235618.130930001</v>
      </c>
      <c r="C41" s="8">
        <v>7411398.2505200002</v>
      </c>
      <c r="D41" s="8">
        <v>6096034.8166000005</v>
      </c>
      <c r="E41" s="8">
        <v>3008946.1409999998</v>
      </c>
      <c r="F41" s="8">
        <v>0</v>
      </c>
      <c r="G41" s="8">
        <v>0</v>
      </c>
      <c r="H41" s="8">
        <v>0</v>
      </c>
      <c r="I41" s="8">
        <v>868300.14846000005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337">
        <f t="shared" si="1"/>
        <v>0</v>
      </c>
      <c r="P41" s="8">
        <v>29620297.487510003</v>
      </c>
    </row>
    <row r="42" spans="1:16" x14ac:dyDescent="0.25">
      <c r="A42" s="250">
        <v>2018</v>
      </c>
      <c r="B42" s="8">
        <v>14829925.531590002</v>
      </c>
      <c r="C42" s="8">
        <v>8963629.6088800002</v>
      </c>
      <c r="D42" s="8">
        <v>7624455.4404000007</v>
      </c>
      <c r="E42" s="8">
        <v>4571602.1349999988</v>
      </c>
      <c r="F42" s="8">
        <v>0</v>
      </c>
      <c r="G42" s="8">
        <v>0</v>
      </c>
      <c r="H42" s="8">
        <v>0</v>
      </c>
      <c r="I42" s="8">
        <v>1187300.7928800001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337">
        <f t="shared" si="1"/>
        <v>0</v>
      </c>
      <c r="P42" s="8">
        <v>37176913.508749999</v>
      </c>
    </row>
    <row r="43" spans="1:16" x14ac:dyDescent="0.25">
      <c r="A43" s="250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P43" s="229"/>
    </row>
    <row r="44" spans="1:16" x14ac:dyDescent="0.25">
      <c r="A44" s="250"/>
    </row>
    <row r="45" spans="1:16" x14ac:dyDescent="0.25">
      <c r="A45" s="250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</row>
    <row r="46" spans="1:16" x14ac:dyDescent="0.25">
      <c r="A46" s="250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P46" s="229"/>
    </row>
  </sheetData>
  <pageMargins left="0.511811024" right="0.511811024" top="0.78740157499999996" bottom="0.78740157499999996" header="0.31496062000000002" footer="0.3149606200000000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Plan185"/>
  <dimension ref="A1:Q19"/>
  <sheetViews>
    <sheetView showGridLines="0" workbookViewId="0">
      <selection activeCell="F11" sqref="F11"/>
    </sheetView>
  </sheetViews>
  <sheetFormatPr defaultRowHeight="15" x14ac:dyDescent="0.25"/>
  <cols>
    <col min="2" max="3" width="16.28515625" bestFit="1" customWidth="1"/>
    <col min="4" max="6" width="15.28515625" bestFit="1" customWidth="1"/>
    <col min="7" max="7" width="18" bestFit="1" customWidth="1"/>
    <col min="8" max="8" width="14.28515625" bestFit="1" customWidth="1"/>
    <col min="9" max="10" width="12.5703125" bestFit="1" customWidth="1"/>
  </cols>
  <sheetData>
    <row r="1" spans="1:17" x14ac:dyDescent="0.25">
      <c r="C1" s="78"/>
      <c r="D1" s="78"/>
      <c r="E1" s="78"/>
      <c r="F1" s="78"/>
      <c r="G1" s="78" t="s">
        <v>445</v>
      </c>
      <c r="H1" s="78" t="s">
        <v>1402</v>
      </c>
    </row>
    <row r="3" spans="1:17" x14ac:dyDescent="0.25">
      <c r="A3" s="350" t="str">
        <f>"Tabela Referente à "&amp;G1</f>
        <v>Tabela Referente à Figura 7.32</v>
      </c>
      <c r="B3" s="350"/>
      <c r="C3" s="350"/>
      <c r="D3" s="350"/>
      <c r="E3" s="350"/>
      <c r="F3" s="350"/>
    </row>
    <row r="4" spans="1:17" ht="15.75" customHeight="1" x14ac:dyDescent="0.25">
      <c r="A4" s="363" t="str">
        <f>H1</f>
        <v>RASK (R$/ASK) da indústria, 2009 a 2018</v>
      </c>
      <c r="B4" s="363"/>
      <c r="C4" s="363"/>
      <c r="D4" s="363"/>
      <c r="E4" s="363"/>
      <c r="F4" s="363"/>
    </row>
    <row r="5" spans="1:17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</v>
      </c>
    </row>
    <row r="6" spans="1:17" x14ac:dyDescent="0.25">
      <c r="A6" s="134" t="s">
        <v>44</v>
      </c>
      <c r="B6" s="105">
        <v>0.13507544331489901</v>
      </c>
      <c r="C6" s="105">
        <v>0.15311785023542351</v>
      </c>
      <c r="D6" s="105">
        <v>0.14317934375772667</v>
      </c>
      <c r="E6" s="105">
        <v>0.20865455487009735</v>
      </c>
      <c r="F6" s="105">
        <v>0.14781102253670242</v>
      </c>
      <c r="G6" s="326"/>
      <c r="H6" s="255"/>
      <c r="I6" s="255"/>
      <c r="J6" s="255"/>
      <c r="K6" s="255"/>
      <c r="L6" s="255"/>
      <c r="M6" s="255"/>
      <c r="O6" s="138"/>
      <c r="P6" s="138"/>
      <c r="Q6" s="138"/>
    </row>
    <row r="7" spans="1:17" x14ac:dyDescent="0.25">
      <c r="A7" s="176" t="s">
        <v>45</v>
      </c>
      <c r="B7" s="104">
        <v>0.146885991034096</v>
      </c>
      <c r="C7" s="104">
        <v>0.14811922294603327</v>
      </c>
      <c r="D7" s="104">
        <v>0.1707737683826101</v>
      </c>
      <c r="E7" s="104">
        <v>0.23187717072631994</v>
      </c>
      <c r="F7" s="104">
        <v>0.15780107695278231</v>
      </c>
      <c r="G7" s="326"/>
      <c r="H7" s="255"/>
      <c r="I7" s="255"/>
      <c r="J7" s="255"/>
      <c r="K7" s="255"/>
      <c r="L7" s="255"/>
      <c r="M7" s="255"/>
      <c r="O7" s="138"/>
      <c r="P7" s="138"/>
      <c r="Q7" s="138"/>
    </row>
    <row r="8" spans="1:17" x14ac:dyDescent="0.25">
      <c r="A8" s="134" t="s">
        <v>3</v>
      </c>
      <c r="B8" s="105">
        <v>0.15213391922182959</v>
      </c>
      <c r="C8" s="105">
        <v>0.14731929700505056</v>
      </c>
      <c r="D8" s="105">
        <v>0.19968896859037671</v>
      </c>
      <c r="E8" s="105">
        <v>0.22545808596363143</v>
      </c>
      <c r="F8" s="105">
        <v>0.16406192544862022</v>
      </c>
      <c r="G8" s="255"/>
      <c r="H8" s="255"/>
      <c r="I8" s="255"/>
      <c r="J8" s="255"/>
      <c r="K8" s="255"/>
      <c r="L8" s="255"/>
      <c r="M8" s="255"/>
      <c r="O8" s="138"/>
      <c r="P8" s="138"/>
      <c r="Q8" s="138"/>
    </row>
    <row r="9" spans="1:17" x14ac:dyDescent="0.25">
      <c r="A9" s="176" t="s">
        <v>4</v>
      </c>
      <c r="B9" s="104">
        <v>0.15872728080025136</v>
      </c>
      <c r="C9" s="104">
        <v>0.15382412258030695</v>
      </c>
      <c r="D9" s="104">
        <v>0.23090990993268198</v>
      </c>
      <c r="E9" s="104">
        <v>0.22196314780027268</v>
      </c>
      <c r="F9" s="104">
        <v>0.17460873046968839</v>
      </c>
      <c r="G9" s="254"/>
      <c r="H9" s="254"/>
      <c r="I9" s="254"/>
      <c r="J9" s="254"/>
      <c r="K9" s="254"/>
      <c r="L9" s="254"/>
      <c r="M9" s="251"/>
      <c r="O9" s="138"/>
      <c r="P9" s="138"/>
      <c r="Q9" s="138"/>
    </row>
    <row r="10" spans="1:17" x14ac:dyDescent="0.25">
      <c r="A10" s="134" t="s">
        <v>395</v>
      </c>
      <c r="B10" s="105">
        <v>0.17840895677220092</v>
      </c>
      <c r="C10" s="105">
        <v>0.1757224005372354</v>
      </c>
      <c r="D10" s="105">
        <v>0.26084848825279916</v>
      </c>
      <c r="E10" s="105">
        <v>0.23396698547413589</v>
      </c>
      <c r="F10" s="105">
        <v>0.2051875623263488</v>
      </c>
      <c r="G10" s="254"/>
      <c r="H10" s="254"/>
      <c r="I10" s="254"/>
      <c r="J10" s="254"/>
      <c r="K10" s="254"/>
      <c r="L10" s="251"/>
      <c r="M10" s="251"/>
      <c r="O10" s="138"/>
    </row>
    <row r="11" spans="1:17" x14ac:dyDescent="0.25">
      <c r="A11" s="176" t="s">
        <v>413</v>
      </c>
      <c r="B11" s="104">
        <v>0.1907853737788483</v>
      </c>
      <c r="C11" s="104">
        <v>0.19518109174214876</v>
      </c>
      <c r="D11" s="104">
        <v>0.27176570941871042</v>
      </c>
      <c r="E11" s="104">
        <v>0.23476446968812489</v>
      </c>
      <c r="F11" s="104">
        <v>0.21559212051620508</v>
      </c>
      <c r="G11" s="254"/>
      <c r="H11" s="254"/>
      <c r="I11" s="254"/>
      <c r="J11" s="254"/>
      <c r="K11" s="251"/>
      <c r="L11" s="251"/>
      <c r="M11" s="251"/>
      <c r="O11" s="138"/>
    </row>
    <row r="12" spans="1:17" x14ac:dyDescent="0.25">
      <c r="A12" s="134" t="s">
        <v>489</v>
      </c>
      <c r="B12" s="105">
        <v>0.19639363915005603</v>
      </c>
      <c r="C12" s="105">
        <v>0.195518918362515</v>
      </c>
      <c r="D12" s="105">
        <v>0.28390227032674764</v>
      </c>
      <c r="E12" s="105">
        <v>0.25943998169931798</v>
      </c>
      <c r="F12" s="105">
        <v>0.22330116599471411</v>
      </c>
      <c r="G12" s="254"/>
      <c r="H12" s="254"/>
      <c r="I12" s="254"/>
      <c r="J12" s="254"/>
      <c r="K12" s="251"/>
      <c r="L12" s="251"/>
      <c r="M12" s="251"/>
      <c r="O12" s="138"/>
    </row>
    <row r="13" spans="1:17" ht="14.25" customHeight="1" x14ac:dyDescent="0.25">
      <c r="A13" s="176" t="s">
        <v>524</v>
      </c>
      <c r="B13" s="104">
        <v>0.2093968378631097</v>
      </c>
      <c r="C13" s="104">
        <v>0.20733011332796156</v>
      </c>
      <c r="D13" s="104">
        <v>0.30704695535191157</v>
      </c>
      <c r="E13" s="104">
        <v>0.25649966050487216</v>
      </c>
      <c r="F13" s="104">
        <v>0.23679116328918789</v>
      </c>
      <c r="G13" s="254"/>
      <c r="H13" s="254"/>
      <c r="I13" s="254"/>
      <c r="J13" s="254"/>
      <c r="K13" s="251"/>
      <c r="L13" s="251"/>
      <c r="M13" s="251"/>
      <c r="O13" s="257"/>
    </row>
    <row r="14" spans="1:17" x14ac:dyDescent="0.25">
      <c r="A14" s="134" t="s">
        <v>718</v>
      </c>
      <c r="B14" s="105">
        <v>0.21807007904880601</v>
      </c>
      <c r="C14" s="105">
        <v>0.2154345831961047</v>
      </c>
      <c r="D14" s="105">
        <v>0.32020061724833326</v>
      </c>
      <c r="E14" s="105">
        <v>0.24567285139861708</v>
      </c>
      <c r="F14" s="105">
        <v>0.24252607105890478</v>
      </c>
      <c r="G14" s="254"/>
      <c r="H14" s="254"/>
      <c r="I14" s="254"/>
      <c r="J14" s="254"/>
      <c r="K14" s="251"/>
      <c r="L14" s="251"/>
      <c r="M14" s="251"/>
      <c r="O14" s="257"/>
    </row>
    <row r="15" spans="1:17" x14ac:dyDescent="0.25">
      <c r="A15" s="176" t="s">
        <v>877</v>
      </c>
      <c r="B15" s="104">
        <v>0.22531820354641047</v>
      </c>
      <c r="C15" s="104">
        <v>0.23239473254568874</v>
      </c>
      <c r="D15" s="104">
        <v>0.32450891614891481</v>
      </c>
      <c r="E15" s="104">
        <v>0.24890670143950036</v>
      </c>
      <c r="F15" s="104">
        <v>0.25439489048569275</v>
      </c>
    </row>
    <row r="16" spans="1:17" x14ac:dyDescent="0.25">
      <c r="G16" s="246"/>
    </row>
    <row r="18" spans="6:6" x14ac:dyDescent="0.25">
      <c r="F18" s="66"/>
    </row>
    <row r="19" spans="6:6" x14ac:dyDescent="0.25">
      <c r="F19" s="66"/>
    </row>
  </sheetData>
  <mergeCells count="2">
    <mergeCell ref="A4:F4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Plan186"/>
  <dimension ref="A1:H15"/>
  <sheetViews>
    <sheetView showGridLines="0" workbookViewId="0">
      <selection activeCell="H15" sqref="H15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754</v>
      </c>
      <c r="H1" s="78" t="s">
        <v>1403</v>
      </c>
    </row>
    <row r="3" spans="1:8" x14ac:dyDescent="0.25">
      <c r="A3" s="350" t="str">
        <f>"Tabela Referente à "&amp;G1</f>
        <v>Tabela Referente à Figura 7.33</v>
      </c>
      <c r="B3" s="350"/>
      <c r="C3" s="350"/>
      <c r="D3" s="350"/>
      <c r="E3" s="350"/>
      <c r="F3" s="350"/>
    </row>
    <row r="4" spans="1:8" ht="15" customHeight="1" x14ac:dyDescent="0.25">
      <c r="A4" s="363" t="str">
        <f>H1</f>
        <v>RASK (R$/ASK) por empresa, 2015 a 2018</v>
      </c>
      <c r="B4" s="363"/>
      <c r="C4" s="363"/>
      <c r="D4" s="363"/>
      <c r="E4" s="363"/>
      <c r="F4" s="363"/>
    </row>
    <row r="5" spans="1:8" x14ac:dyDescent="0.25">
      <c r="A5" s="86" t="str">
        <f>'Fig 7.32'!A5</f>
        <v>Ano</v>
      </c>
      <c r="B5" s="91" t="str">
        <f>'Fig 7.32'!B5</f>
        <v>Latam</v>
      </c>
      <c r="C5" s="91" t="str">
        <f>'Fig 7.32'!C5</f>
        <v>Gol</v>
      </c>
      <c r="D5" s="91" t="str">
        <f>'Fig 7.32'!D5</f>
        <v>Azul</v>
      </c>
      <c r="E5" s="91" t="str">
        <f>'Fig 7.32'!E5</f>
        <v>Avianca</v>
      </c>
      <c r="F5" s="91" t="str">
        <f>'Fig 7.32'!F5</f>
        <v>Indústria</v>
      </c>
    </row>
    <row r="6" spans="1:8" x14ac:dyDescent="0.25">
      <c r="A6" s="134" t="str">
        <f>'Fig 7.32'!A6</f>
        <v>2009</v>
      </c>
      <c r="B6" s="105">
        <f>'Fig 7.32'!B6</f>
        <v>0.13507544331489901</v>
      </c>
      <c r="C6" s="105">
        <f>'Fig 7.32'!C6</f>
        <v>0.15311785023542351</v>
      </c>
      <c r="D6" s="105">
        <f>'Fig 7.32'!D6</f>
        <v>0.14317934375772667</v>
      </c>
      <c r="E6" s="105">
        <f>'Fig 7.32'!E6</f>
        <v>0.20865455487009735</v>
      </c>
      <c r="F6" s="105">
        <f>'Fig 7.32'!F6</f>
        <v>0.14781102253670242</v>
      </c>
    </row>
    <row r="7" spans="1:8" x14ac:dyDescent="0.25">
      <c r="A7" s="176" t="str">
        <f>'Fig 7.32'!A7</f>
        <v>2010</v>
      </c>
      <c r="B7" s="104">
        <f>'Fig 7.32'!B7</f>
        <v>0.146885991034096</v>
      </c>
      <c r="C7" s="104">
        <f>'Fig 7.32'!C7</f>
        <v>0.14811922294603327</v>
      </c>
      <c r="D7" s="104">
        <f>'Fig 7.32'!D7</f>
        <v>0.1707737683826101</v>
      </c>
      <c r="E7" s="104">
        <f>'Fig 7.32'!E7</f>
        <v>0.23187717072631994</v>
      </c>
      <c r="F7" s="104">
        <f>'Fig 7.32'!F7</f>
        <v>0.15780107695278231</v>
      </c>
    </row>
    <row r="8" spans="1:8" x14ac:dyDescent="0.25">
      <c r="A8" s="134" t="str">
        <f>'Fig 7.32'!A8</f>
        <v>2011</v>
      </c>
      <c r="B8" s="105">
        <f>'Fig 7.32'!B8</f>
        <v>0.15213391922182959</v>
      </c>
      <c r="C8" s="105">
        <f>'Fig 7.32'!C8</f>
        <v>0.14731929700505056</v>
      </c>
      <c r="D8" s="105">
        <f>'Fig 7.32'!D8</f>
        <v>0.19968896859037671</v>
      </c>
      <c r="E8" s="105">
        <f>'Fig 7.32'!E8</f>
        <v>0.22545808596363143</v>
      </c>
      <c r="F8" s="105">
        <f>'Fig 7.32'!F8</f>
        <v>0.16406192544862022</v>
      </c>
    </row>
    <row r="9" spans="1:8" x14ac:dyDescent="0.25">
      <c r="A9" s="176" t="str">
        <f>'Fig 7.32'!A9</f>
        <v>2012</v>
      </c>
      <c r="B9" s="104">
        <f>'Fig 7.32'!B9</f>
        <v>0.15872728080025136</v>
      </c>
      <c r="C9" s="104">
        <f>'Fig 7.32'!C9</f>
        <v>0.15382412258030695</v>
      </c>
      <c r="D9" s="104">
        <f>'Fig 7.32'!D9</f>
        <v>0.23090990993268198</v>
      </c>
      <c r="E9" s="104">
        <f>'Fig 7.32'!E9</f>
        <v>0.22196314780027268</v>
      </c>
      <c r="F9" s="104">
        <f>'Fig 7.32'!F9</f>
        <v>0.17460873046968839</v>
      </c>
    </row>
    <row r="10" spans="1:8" x14ac:dyDescent="0.25">
      <c r="A10" s="134" t="str">
        <f>'Fig 7.32'!A10</f>
        <v>2013</v>
      </c>
      <c r="B10" s="105">
        <f>'Fig 7.32'!B10</f>
        <v>0.17840895677220092</v>
      </c>
      <c r="C10" s="105">
        <f>'Fig 7.32'!C10</f>
        <v>0.1757224005372354</v>
      </c>
      <c r="D10" s="105">
        <f>'Fig 7.32'!D10</f>
        <v>0.26084848825279916</v>
      </c>
      <c r="E10" s="105">
        <f>'Fig 7.32'!E10</f>
        <v>0.23396698547413589</v>
      </c>
      <c r="F10" s="105">
        <f>'Fig 7.32'!F10</f>
        <v>0.2051875623263488</v>
      </c>
    </row>
    <row r="11" spans="1:8" x14ac:dyDescent="0.25">
      <c r="A11" s="176" t="str">
        <f>'Fig 7.32'!A11</f>
        <v>2014</v>
      </c>
      <c r="B11" s="104">
        <f>'Fig 7.32'!B11</f>
        <v>0.1907853737788483</v>
      </c>
      <c r="C11" s="104">
        <f>'Fig 7.32'!C11</f>
        <v>0.19518109174214876</v>
      </c>
      <c r="D11" s="104">
        <f>'Fig 7.32'!D11</f>
        <v>0.27176570941871042</v>
      </c>
      <c r="E11" s="104">
        <f>'Fig 7.32'!E11</f>
        <v>0.23476446968812489</v>
      </c>
      <c r="F11" s="104">
        <f>'Fig 7.32'!F11</f>
        <v>0.21559212051620508</v>
      </c>
    </row>
    <row r="12" spans="1:8" x14ac:dyDescent="0.25">
      <c r="A12" s="134" t="str">
        <f>'Fig 7.32'!A12</f>
        <v>2015</v>
      </c>
      <c r="B12" s="105">
        <f>'Fig 7.32'!B12</f>
        <v>0.19639363915005603</v>
      </c>
      <c r="C12" s="105">
        <f>'Fig 7.32'!C12</f>
        <v>0.195518918362515</v>
      </c>
      <c r="D12" s="105">
        <f>'Fig 7.32'!D12</f>
        <v>0.28390227032674764</v>
      </c>
      <c r="E12" s="105">
        <f>'Fig 7.32'!E12</f>
        <v>0.25943998169931798</v>
      </c>
      <c r="F12" s="105">
        <f>'Fig 7.32'!F12</f>
        <v>0.22330116599471411</v>
      </c>
    </row>
    <row r="13" spans="1:8" x14ac:dyDescent="0.25">
      <c r="A13" s="176" t="str">
        <f>'Fig 7.32'!A13</f>
        <v>2016</v>
      </c>
      <c r="B13" s="104">
        <f>'Fig 7.32'!B13</f>
        <v>0.2093968378631097</v>
      </c>
      <c r="C13" s="104">
        <f>'Fig 7.32'!C13</f>
        <v>0.20733011332796156</v>
      </c>
      <c r="D13" s="104">
        <f>'Fig 7.32'!D13</f>
        <v>0.30704695535191157</v>
      </c>
      <c r="E13" s="104">
        <f>'Fig 7.32'!E13</f>
        <v>0.25649966050487216</v>
      </c>
      <c r="F13" s="104">
        <f>'Fig 7.32'!F13</f>
        <v>0.23679116328918789</v>
      </c>
    </row>
    <row r="14" spans="1:8" x14ac:dyDescent="0.25">
      <c r="A14" s="134" t="str">
        <f>'Fig 7.32'!A14</f>
        <v>2017</v>
      </c>
      <c r="B14" s="105">
        <f>'Fig 7.32'!B14</f>
        <v>0.21807007904880601</v>
      </c>
      <c r="C14" s="105">
        <f>'Fig 7.32'!C14</f>
        <v>0.2154345831961047</v>
      </c>
      <c r="D14" s="105">
        <f>'Fig 7.32'!D14</f>
        <v>0.32020061724833326</v>
      </c>
      <c r="E14" s="105">
        <f>'Fig 7.32'!E14</f>
        <v>0.24567285139861708</v>
      </c>
      <c r="F14" s="105">
        <f>'Fig 7.32'!F14</f>
        <v>0.24252607105890478</v>
      </c>
    </row>
    <row r="15" spans="1:8" x14ac:dyDescent="0.25">
      <c r="A15" s="176" t="str">
        <f>'Fig 7.32'!A15</f>
        <v>2018</v>
      </c>
      <c r="B15" s="104">
        <f>'Fig 7.32'!B15</f>
        <v>0.22531820354641047</v>
      </c>
      <c r="C15" s="104">
        <f>'Fig 7.32'!C15</f>
        <v>0.23239473254568874</v>
      </c>
      <c r="D15" s="104">
        <f>'Fig 7.32'!D15</f>
        <v>0.32450891614891481</v>
      </c>
      <c r="E15" s="104">
        <f>'Fig 7.32'!E15</f>
        <v>0.24890670143950036</v>
      </c>
      <c r="F15" s="104">
        <f>'Fig 7.32'!F15</f>
        <v>0.25439489048569275</v>
      </c>
    </row>
  </sheetData>
  <mergeCells count="2">
    <mergeCell ref="A4:F4"/>
    <mergeCell ref="A3:F3"/>
  </mergeCells>
  <pageMargins left="0.511811024" right="0.511811024" top="0.78740157499999996" bottom="0.78740157499999996" header="0.31496062000000002" footer="0.31496062000000002"/>
  <drawing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Plan187"/>
  <dimension ref="A1:Q39"/>
  <sheetViews>
    <sheetView showGridLines="0" workbookViewId="0">
      <selection activeCell="F11" sqref="F11"/>
    </sheetView>
  </sheetViews>
  <sheetFormatPr defaultRowHeight="15" x14ac:dyDescent="0.25"/>
  <cols>
    <col min="2" max="4" width="15.28515625" bestFit="1" customWidth="1"/>
    <col min="5" max="5" width="13.28515625" bestFit="1" customWidth="1"/>
    <col min="8" max="8" width="12" bestFit="1" customWidth="1"/>
    <col min="15" max="15" width="29.28515625" bestFit="1" customWidth="1"/>
  </cols>
  <sheetData>
    <row r="1" spans="1:15" x14ac:dyDescent="0.25">
      <c r="C1" s="78"/>
      <c r="D1" s="78"/>
      <c r="E1" s="78"/>
      <c r="F1" s="78"/>
      <c r="G1" s="78" t="s">
        <v>755</v>
      </c>
      <c r="H1" s="78" t="s">
        <v>1404</v>
      </c>
    </row>
    <row r="3" spans="1:15" x14ac:dyDescent="0.25">
      <c r="A3" s="350" t="str">
        <f>"Tabela Referente à "&amp;G1</f>
        <v>Tabela Referente à Figura 7.34</v>
      </c>
      <c r="B3" s="350"/>
      <c r="C3" s="350"/>
      <c r="D3" s="350"/>
      <c r="E3" s="350"/>
      <c r="F3" s="350"/>
    </row>
    <row r="4" spans="1:15" ht="15" customHeight="1" x14ac:dyDescent="0.25">
      <c r="A4" s="363" t="str">
        <f>H1</f>
        <v>CASK (R$/ASK) da indústria, 2009 a 2018</v>
      </c>
      <c r="B4" s="363"/>
      <c r="C4" s="363"/>
      <c r="D4" s="363"/>
      <c r="E4" s="363"/>
      <c r="F4" s="363"/>
    </row>
    <row r="5" spans="1:15" x14ac:dyDescent="0.25">
      <c r="A5" s="86" t="s">
        <v>20</v>
      </c>
      <c r="B5" s="106" t="s">
        <v>526</v>
      </c>
      <c r="C5" s="106" t="s">
        <v>59</v>
      </c>
      <c r="D5" s="106" t="s">
        <v>60</v>
      </c>
      <c r="E5" s="106" t="s">
        <v>61</v>
      </c>
      <c r="F5" s="91" t="s">
        <v>10</v>
      </c>
    </row>
    <row r="6" spans="1:15" x14ac:dyDescent="0.25">
      <c r="A6" s="92">
        <v>2019</v>
      </c>
      <c r="B6" s="104">
        <v>0.14788054228903016</v>
      </c>
      <c r="C6" s="104">
        <v>0.14546635381412432</v>
      </c>
      <c r="D6" s="104">
        <v>0.19572002811592407</v>
      </c>
      <c r="E6" s="104">
        <v>0.24432774512926655</v>
      </c>
      <c r="F6" s="104">
        <v>0.15490978572870442</v>
      </c>
      <c r="G6" s="255"/>
      <c r="H6" s="255"/>
      <c r="I6" s="255"/>
      <c r="J6" s="255"/>
      <c r="K6" s="255"/>
      <c r="L6" s="255"/>
      <c r="M6" s="255"/>
      <c r="N6" s="251"/>
      <c r="O6" s="251"/>
    </row>
    <row r="7" spans="1:15" x14ac:dyDescent="0.25">
      <c r="A7" s="93" t="s">
        <v>45</v>
      </c>
      <c r="B7" s="105">
        <v>0.15359455809153028</v>
      </c>
      <c r="C7" s="105">
        <v>0.13531574101362237</v>
      </c>
      <c r="D7" s="105">
        <v>0.18096550954650839</v>
      </c>
      <c r="E7" s="105">
        <v>0.25611732652475372</v>
      </c>
      <c r="F7" s="105">
        <v>0.1569856977208671</v>
      </c>
      <c r="G7" s="255"/>
      <c r="H7" s="255"/>
      <c r="I7" s="255"/>
      <c r="J7" s="255"/>
      <c r="K7" s="255"/>
      <c r="L7" s="255"/>
      <c r="M7" s="255"/>
      <c r="O7" s="251"/>
    </row>
    <row r="8" spans="1:15" x14ac:dyDescent="0.25">
      <c r="A8" s="92" t="s">
        <v>3</v>
      </c>
      <c r="B8" s="104">
        <v>0.15806062038666682</v>
      </c>
      <c r="C8" s="104">
        <v>0.1521398941365216</v>
      </c>
      <c r="D8" s="104">
        <v>0.19734232047882777</v>
      </c>
      <c r="E8" s="104">
        <v>0.23639325154483518</v>
      </c>
      <c r="F8" s="104">
        <v>0.17130638567786016</v>
      </c>
      <c r="G8" s="255"/>
      <c r="H8" s="255"/>
      <c r="I8" s="255"/>
      <c r="J8" s="255"/>
      <c r="K8" s="255"/>
      <c r="L8" s="255"/>
      <c r="M8" s="255"/>
      <c r="O8" s="251"/>
    </row>
    <row r="9" spans="1:15" x14ac:dyDescent="0.25">
      <c r="A9" s="93" t="s">
        <v>4</v>
      </c>
      <c r="B9" s="105">
        <v>0.18258930092477915</v>
      </c>
      <c r="C9" s="105">
        <v>0.17047197092933158</v>
      </c>
      <c r="D9" s="105">
        <v>0.23529129027039822</v>
      </c>
      <c r="E9" s="105">
        <v>0.23046459222859073</v>
      </c>
      <c r="F9" s="105">
        <v>0.19510442453433635</v>
      </c>
      <c r="G9" s="254"/>
      <c r="H9" s="254"/>
      <c r="I9" s="254"/>
      <c r="J9" s="254"/>
      <c r="K9" s="254"/>
      <c r="L9" s="254"/>
      <c r="O9" s="251"/>
    </row>
    <row r="10" spans="1:15" x14ac:dyDescent="0.25">
      <c r="A10" s="92" t="s">
        <v>395</v>
      </c>
      <c r="B10" s="104">
        <v>0.19652478022803235</v>
      </c>
      <c r="C10" s="104">
        <v>0.1761987574856459</v>
      </c>
      <c r="D10" s="104">
        <v>0.23663617740519566</v>
      </c>
      <c r="E10" s="104">
        <v>0.22735214974346793</v>
      </c>
      <c r="F10" s="104">
        <v>0.208889688863894</v>
      </c>
      <c r="G10" s="254"/>
      <c r="H10" s="254"/>
      <c r="I10" s="254"/>
      <c r="J10" s="254"/>
      <c r="K10" s="254"/>
      <c r="O10" s="251"/>
    </row>
    <row r="11" spans="1:15" x14ac:dyDescent="0.25">
      <c r="A11" s="93" t="s">
        <v>413</v>
      </c>
      <c r="B11" s="105">
        <v>0.20579536779780605</v>
      </c>
      <c r="C11" s="105">
        <v>0.19363921801121359</v>
      </c>
      <c r="D11" s="105">
        <v>0.25401534667878795</v>
      </c>
      <c r="E11" s="105">
        <v>0.23080697237207226</v>
      </c>
      <c r="F11" s="105">
        <v>0.21974926500966577</v>
      </c>
      <c r="G11" s="254"/>
      <c r="H11" s="254"/>
      <c r="I11" s="254"/>
      <c r="J11" s="254"/>
      <c r="O11" s="251"/>
    </row>
    <row r="12" spans="1:15" x14ac:dyDescent="0.25">
      <c r="A12" s="92" t="s">
        <v>489</v>
      </c>
      <c r="B12" s="104">
        <v>0.19897564911636573</v>
      </c>
      <c r="C12" s="104">
        <v>0.19487087141279383</v>
      </c>
      <c r="D12" s="104">
        <v>0.28312564187373146</v>
      </c>
      <c r="E12" s="104">
        <v>0.23293786624263133</v>
      </c>
      <c r="F12" s="104">
        <v>0.22166565068473276</v>
      </c>
      <c r="G12" s="254"/>
      <c r="H12" s="254"/>
      <c r="I12" s="254"/>
      <c r="J12" s="254"/>
      <c r="O12" s="251"/>
    </row>
    <row r="13" spans="1:15" x14ac:dyDescent="0.25">
      <c r="A13" s="93" t="s">
        <v>524</v>
      </c>
      <c r="B13" s="105">
        <v>0.21415487604649952</v>
      </c>
      <c r="C13" s="105">
        <v>0.18789075219535062</v>
      </c>
      <c r="D13" s="105">
        <v>0.28663519194685066</v>
      </c>
      <c r="E13" s="105">
        <v>0.22932890591815092</v>
      </c>
      <c r="F13" s="105">
        <v>0.22685021605098429</v>
      </c>
      <c r="G13" s="254"/>
      <c r="H13" s="254"/>
      <c r="I13" s="254"/>
      <c r="J13" s="254"/>
      <c r="O13" s="256"/>
    </row>
    <row r="14" spans="1:15" x14ac:dyDescent="0.25">
      <c r="A14" s="92" t="s">
        <v>718</v>
      </c>
      <c r="B14" s="104">
        <v>0.2049685841361418</v>
      </c>
      <c r="C14" s="104">
        <v>0.19618651243242621</v>
      </c>
      <c r="D14" s="104">
        <v>0.27529076524223539</v>
      </c>
      <c r="E14" s="104">
        <v>0.23264889792690541</v>
      </c>
      <c r="F14" s="104">
        <v>0.22223416752610109</v>
      </c>
      <c r="G14" s="254"/>
      <c r="H14" s="254"/>
      <c r="I14" s="254"/>
      <c r="J14" s="254"/>
      <c r="O14" s="251"/>
    </row>
    <row r="15" spans="1:15" x14ac:dyDescent="0.25">
      <c r="A15" s="93" t="s">
        <v>877</v>
      </c>
      <c r="B15" s="105">
        <v>0.22695026565063001</v>
      </c>
      <c r="C15" s="105">
        <v>0.21843326428023191</v>
      </c>
      <c r="D15" s="105">
        <v>0.29356587635593906</v>
      </c>
      <c r="E15" s="105">
        <v>0.25850562855331422</v>
      </c>
      <c r="F15" s="105">
        <v>0.24677386707906365</v>
      </c>
    </row>
    <row r="16" spans="1:15" x14ac:dyDescent="0.25">
      <c r="B16" s="78"/>
      <c r="C16" s="78"/>
      <c r="D16" s="78"/>
      <c r="E16" s="78"/>
      <c r="F16" s="114">
        <f>F14/'Fig 7.32'!F14-1</f>
        <v>-8.3668957503027275E-2</v>
      </c>
    </row>
    <row r="34" spans="9:17" x14ac:dyDescent="0.25">
      <c r="I34" s="66"/>
      <c r="J34" s="66"/>
      <c r="K34" s="66"/>
      <c r="L34" s="66"/>
      <c r="M34" s="66"/>
      <c r="N34" s="66"/>
      <c r="O34" s="66"/>
      <c r="P34" s="66"/>
      <c r="Q34" s="66"/>
    </row>
    <row r="35" spans="9:17" x14ac:dyDescent="0.25">
      <c r="I35" s="66"/>
      <c r="J35" s="66"/>
      <c r="K35" s="66"/>
      <c r="L35" s="66"/>
      <c r="M35" s="66"/>
      <c r="N35" s="66"/>
      <c r="O35" s="66"/>
      <c r="P35" s="66"/>
      <c r="Q35" s="66"/>
    </row>
    <row r="36" spans="9:17" x14ac:dyDescent="0.25">
      <c r="I36" s="66"/>
      <c r="J36" s="66"/>
      <c r="K36" s="66"/>
      <c r="L36" s="66"/>
      <c r="M36" s="66"/>
      <c r="N36" s="66"/>
      <c r="O36" s="66"/>
      <c r="P36" s="66"/>
      <c r="Q36" s="66"/>
    </row>
    <row r="37" spans="9:17" x14ac:dyDescent="0.25">
      <c r="I37" s="66"/>
      <c r="J37" s="66"/>
      <c r="K37" s="66"/>
      <c r="L37" s="66"/>
      <c r="M37" s="66"/>
      <c r="N37" s="66"/>
      <c r="O37" s="66"/>
      <c r="P37" s="66"/>
      <c r="Q37" s="66"/>
    </row>
    <row r="38" spans="9:17" x14ac:dyDescent="0.25">
      <c r="I38" s="66"/>
      <c r="J38" s="66"/>
      <c r="K38" s="66"/>
      <c r="L38" s="66"/>
      <c r="M38" s="66"/>
      <c r="N38" s="66"/>
      <c r="O38" s="66"/>
      <c r="P38" s="66"/>
      <c r="Q38" s="66"/>
    </row>
    <row r="39" spans="9:17" x14ac:dyDescent="0.25">
      <c r="I39" s="66"/>
      <c r="J39" s="66"/>
      <c r="K39" s="66"/>
      <c r="L39" s="66"/>
      <c r="M39" s="66"/>
      <c r="N39" s="66"/>
      <c r="O39" s="66"/>
      <c r="P39" s="66"/>
      <c r="Q39" s="66"/>
    </row>
  </sheetData>
  <mergeCells count="2">
    <mergeCell ref="A4:F4"/>
    <mergeCell ref="A3:F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Plan188"/>
  <dimension ref="A1:H15"/>
  <sheetViews>
    <sheetView showGridLines="0" workbookViewId="0">
      <selection activeCell="F26" sqref="F26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756</v>
      </c>
      <c r="H1" s="78" t="s">
        <v>1405</v>
      </c>
    </row>
    <row r="3" spans="1:8" x14ac:dyDescent="0.25">
      <c r="A3" s="350" t="str">
        <f>"Tabela Referente à "&amp;G1</f>
        <v>Tabela Referente à Figura 7.35</v>
      </c>
      <c r="B3" s="350"/>
      <c r="C3" s="350"/>
      <c r="D3" s="350"/>
      <c r="E3" s="350"/>
      <c r="F3" s="350"/>
    </row>
    <row r="4" spans="1:8" ht="15" customHeight="1" x14ac:dyDescent="0.25">
      <c r="A4" s="363" t="str">
        <f>H1</f>
        <v>CASK (R$/ASK) por empresa, 2015 a 2018</v>
      </c>
      <c r="B4" s="363"/>
      <c r="C4" s="363"/>
      <c r="D4" s="363"/>
      <c r="E4" s="363"/>
      <c r="F4" s="363"/>
    </row>
    <row r="5" spans="1:8" x14ac:dyDescent="0.25">
      <c r="A5" s="86" t="str">
        <f>'Fig 7.34'!A5</f>
        <v>Ano</v>
      </c>
      <c r="B5" s="106" t="str">
        <f>'Fig 7.34'!B5</f>
        <v>Latam</v>
      </c>
      <c r="C5" s="106" t="str">
        <f>'Fig 7.34'!C5</f>
        <v>Gol</v>
      </c>
      <c r="D5" s="106" t="str">
        <f>'Fig 7.34'!D5</f>
        <v>Azul</v>
      </c>
      <c r="E5" s="106" t="str">
        <f>'Fig 7.34'!E5</f>
        <v>Avianca</v>
      </c>
      <c r="F5" s="106" t="str">
        <f>'Fig 7.34'!F5</f>
        <v>Indústria</v>
      </c>
    </row>
    <row r="6" spans="1:8" x14ac:dyDescent="0.25">
      <c r="A6" s="176">
        <f>'Fig 7.34'!A6</f>
        <v>2019</v>
      </c>
      <c r="B6" s="104">
        <f>'Fig 7.34'!B6</f>
        <v>0.14788054228903016</v>
      </c>
      <c r="C6" s="104">
        <f>'Fig 7.34'!C6</f>
        <v>0.14546635381412432</v>
      </c>
      <c r="D6" s="104">
        <f>'Fig 7.34'!D6</f>
        <v>0.19572002811592407</v>
      </c>
      <c r="E6" s="104">
        <f>'Fig 7.34'!E6</f>
        <v>0.24432774512926655</v>
      </c>
      <c r="F6" s="104">
        <f>'Fig 7.34'!F6</f>
        <v>0.15490978572870442</v>
      </c>
    </row>
    <row r="7" spans="1:8" x14ac:dyDescent="0.25">
      <c r="A7" s="93" t="str">
        <f>'Fig 7.34'!A7</f>
        <v>2010</v>
      </c>
      <c r="B7" s="105">
        <f>'Fig 7.34'!B7</f>
        <v>0.15359455809153028</v>
      </c>
      <c r="C7" s="105">
        <f>'Fig 7.34'!C7</f>
        <v>0.13531574101362237</v>
      </c>
      <c r="D7" s="105">
        <f>'Fig 7.34'!D7</f>
        <v>0.18096550954650839</v>
      </c>
      <c r="E7" s="105">
        <f>'Fig 7.34'!E7</f>
        <v>0.25611732652475372</v>
      </c>
      <c r="F7" s="105">
        <f>'Fig 7.34'!F7</f>
        <v>0.1569856977208671</v>
      </c>
    </row>
    <row r="8" spans="1:8" x14ac:dyDescent="0.25">
      <c r="A8" s="92" t="str">
        <f>'Fig 7.34'!A8</f>
        <v>2011</v>
      </c>
      <c r="B8" s="104">
        <f>'Fig 7.34'!B8</f>
        <v>0.15806062038666682</v>
      </c>
      <c r="C8" s="104">
        <f>'Fig 7.34'!C8</f>
        <v>0.1521398941365216</v>
      </c>
      <c r="D8" s="104">
        <f>'Fig 7.34'!D8</f>
        <v>0.19734232047882777</v>
      </c>
      <c r="E8" s="104">
        <f>'Fig 7.34'!E8</f>
        <v>0.23639325154483518</v>
      </c>
      <c r="F8" s="104">
        <f>'Fig 7.34'!F8</f>
        <v>0.17130638567786016</v>
      </c>
    </row>
    <row r="9" spans="1:8" x14ac:dyDescent="0.25">
      <c r="A9" s="93" t="str">
        <f>'Fig 7.34'!A9</f>
        <v>2012</v>
      </c>
      <c r="B9" s="105">
        <f>'Fig 7.34'!B9</f>
        <v>0.18258930092477915</v>
      </c>
      <c r="C9" s="105">
        <f>'Fig 7.34'!C9</f>
        <v>0.17047197092933158</v>
      </c>
      <c r="D9" s="105">
        <f>'Fig 7.34'!D9</f>
        <v>0.23529129027039822</v>
      </c>
      <c r="E9" s="105">
        <f>'Fig 7.34'!E9</f>
        <v>0.23046459222859073</v>
      </c>
      <c r="F9" s="105">
        <f>'Fig 7.34'!F9</f>
        <v>0.19510442453433635</v>
      </c>
    </row>
    <row r="10" spans="1:8" x14ac:dyDescent="0.25">
      <c r="A10" s="92" t="str">
        <f>'Fig 7.34'!A10</f>
        <v>2013</v>
      </c>
      <c r="B10" s="104">
        <f>'Fig 7.34'!B10</f>
        <v>0.19652478022803235</v>
      </c>
      <c r="C10" s="104">
        <f>'Fig 7.34'!C10</f>
        <v>0.1761987574856459</v>
      </c>
      <c r="D10" s="104">
        <f>'Fig 7.34'!D10</f>
        <v>0.23663617740519566</v>
      </c>
      <c r="E10" s="104">
        <f>'Fig 7.34'!E10</f>
        <v>0.22735214974346793</v>
      </c>
      <c r="F10" s="104">
        <f>'Fig 7.34'!F10</f>
        <v>0.208889688863894</v>
      </c>
    </row>
    <row r="11" spans="1:8" x14ac:dyDescent="0.25">
      <c r="A11" s="93" t="str">
        <f>'Fig 7.34'!A11</f>
        <v>2014</v>
      </c>
      <c r="B11" s="105">
        <f>'Fig 7.34'!B11</f>
        <v>0.20579536779780605</v>
      </c>
      <c r="C11" s="105">
        <f>'Fig 7.34'!C11</f>
        <v>0.19363921801121359</v>
      </c>
      <c r="D11" s="105">
        <f>'Fig 7.34'!D11</f>
        <v>0.25401534667878795</v>
      </c>
      <c r="E11" s="105">
        <f>'Fig 7.34'!E11</f>
        <v>0.23080697237207226</v>
      </c>
      <c r="F11" s="105">
        <f>'Fig 7.34'!F11</f>
        <v>0.21974926500966577</v>
      </c>
    </row>
    <row r="12" spans="1:8" x14ac:dyDescent="0.25">
      <c r="A12" s="92" t="str">
        <f>'Fig 7.34'!A12</f>
        <v>2015</v>
      </c>
      <c r="B12" s="104">
        <f>'Fig 7.34'!B12</f>
        <v>0.19897564911636573</v>
      </c>
      <c r="C12" s="104">
        <f>'Fig 7.34'!C12</f>
        <v>0.19487087141279383</v>
      </c>
      <c r="D12" s="104">
        <f>'Fig 7.34'!D12</f>
        <v>0.28312564187373146</v>
      </c>
      <c r="E12" s="104">
        <f>'Fig 7.34'!E12</f>
        <v>0.23293786624263133</v>
      </c>
      <c r="F12" s="104">
        <f>'Fig 7.34'!F12</f>
        <v>0.22166565068473276</v>
      </c>
    </row>
    <row r="13" spans="1:8" x14ac:dyDescent="0.25">
      <c r="A13" s="93" t="str">
        <f>'Fig 7.34'!A13</f>
        <v>2016</v>
      </c>
      <c r="B13" s="105">
        <f>'Fig 7.34'!B13</f>
        <v>0.21415487604649952</v>
      </c>
      <c r="C13" s="105">
        <f>'Fig 7.34'!C13</f>
        <v>0.18789075219535062</v>
      </c>
      <c r="D13" s="105">
        <f>'Fig 7.34'!D13</f>
        <v>0.28663519194685066</v>
      </c>
      <c r="E13" s="105">
        <f>'Fig 7.34'!E13</f>
        <v>0.22932890591815092</v>
      </c>
      <c r="F13" s="105">
        <f>'Fig 7.34'!F13</f>
        <v>0.22685021605098429</v>
      </c>
    </row>
    <row r="14" spans="1:8" x14ac:dyDescent="0.25">
      <c r="A14" s="92" t="str">
        <f>'Fig 7.34'!A14</f>
        <v>2017</v>
      </c>
      <c r="B14" s="104">
        <f>'Fig 7.34'!B14</f>
        <v>0.2049685841361418</v>
      </c>
      <c r="C14" s="104">
        <f>'Fig 7.34'!C14</f>
        <v>0.19618651243242621</v>
      </c>
      <c r="D14" s="104">
        <f>'Fig 7.34'!D14</f>
        <v>0.27529076524223539</v>
      </c>
      <c r="E14" s="104">
        <f>'Fig 7.34'!E14</f>
        <v>0.23264889792690541</v>
      </c>
      <c r="F14" s="104">
        <f>'Fig 7.34'!F14</f>
        <v>0.22223416752610109</v>
      </c>
    </row>
    <row r="15" spans="1:8" x14ac:dyDescent="0.25">
      <c r="A15" s="93" t="str">
        <f>'Fig 7.34'!A15</f>
        <v>2018</v>
      </c>
      <c r="B15" s="105">
        <f>'Fig 7.34'!B15</f>
        <v>0.22695026565063001</v>
      </c>
      <c r="C15" s="105">
        <f>'Fig 7.34'!C15</f>
        <v>0.21843326428023191</v>
      </c>
      <c r="D15" s="105">
        <f>'Fig 7.34'!D15</f>
        <v>0.29356587635593906</v>
      </c>
      <c r="E15" s="105">
        <f>'Fig 7.34'!E15</f>
        <v>0.25850562855331422</v>
      </c>
      <c r="F15" s="105">
        <f>'Fig 7.34'!F15</f>
        <v>0.24677386707906365</v>
      </c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drawing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Plan189"/>
  <dimension ref="A1:O33"/>
  <sheetViews>
    <sheetView showGridLines="0" workbookViewId="0">
      <selection activeCell="A4" sqref="A4:F4"/>
    </sheetView>
  </sheetViews>
  <sheetFormatPr defaultRowHeight="15" x14ac:dyDescent="0.25"/>
  <cols>
    <col min="2" max="2" width="15.28515625" bestFit="1" customWidth="1"/>
    <col min="3" max="3" width="16.85546875" bestFit="1" customWidth="1"/>
    <col min="4" max="5" width="16" bestFit="1" customWidth="1"/>
    <col min="6" max="6" width="17" bestFit="1" customWidth="1"/>
    <col min="8" max="8" width="11" bestFit="1" customWidth="1"/>
  </cols>
  <sheetData>
    <row r="1" spans="1:15" x14ac:dyDescent="0.25">
      <c r="C1" s="78"/>
      <c r="D1" s="78"/>
      <c r="E1" s="78"/>
      <c r="F1" s="78"/>
      <c r="G1" s="78" t="s">
        <v>1406</v>
      </c>
      <c r="H1" s="78" t="s">
        <v>1407</v>
      </c>
    </row>
    <row r="3" spans="1:15" x14ac:dyDescent="0.25">
      <c r="A3" s="350" t="str">
        <f>"Tabela Referente à "&amp;G1</f>
        <v>Tabela Referente à Figura 7.36</v>
      </c>
      <c r="B3" s="350"/>
      <c r="C3" s="350"/>
      <c r="D3" s="350"/>
      <c r="E3" s="350"/>
      <c r="F3" s="350"/>
    </row>
    <row r="4" spans="1:15" x14ac:dyDescent="0.25">
      <c r="A4" s="362" t="str">
        <f>H1</f>
        <v>RASK Passagem Aérea (R$/ASK) da indústria, 2009 a 2018</v>
      </c>
      <c r="B4" s="362"/>
      <c r="C4" s="362"/>
      <c r="D4" s="362"/>
      <c r="E4" s="362"/>
      <c r="F4" s="362"/>
    </row>
    <row r="5" spans="1:15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</v>
      </c>
    </row>
    <row r="6" spans="1:15" x14ac:dyDescent="0.25">
      <c r="A6" s="134" t="s">
        <v>44</v>
      </c>
      <c r="B6" s="105">
        <v>0.1188597557255838</v>
      </c>
      <c r="C6" s="105">
        <v>0.13677437555489397</v>
      </c>
      <c r="D6" s="105">
        <v>0.1333029260035892</v>
      </c>
      <c r="E6" s="105">
        <v>0.18545842657368763</v>
      </c>
      <c r="F6" s="105">
        <v>0.12883278230505962</v>
      </c>
      <c r="G6" s="255"/>
      <c r="H6" s="255"/>
      <c r="I6" s="255"/>
      <c r="J6" s="255"/>
      <c r="K6" s="255"/>
      <c r="L6" s="255"/>
      <c r="M6" s="255"/>
      <c r="N6" s="253"/>
      <c r="O6" s="256"/>
    </row>
    <row r="7" spans="1:15" x14ac:dyDescent="0.25">
      <c r="A7" s="176" t="s">
        <v>45</v>
      </c>
      <c r="B7" s="104">
        <v>0.1290333694075394</v>
      </c>
      <c r="C7" s="104">
        <v>0.13014290713887766</v>
      </c>
      <c r="D7" s="104">
        <v>0.15450909754776784</v>
      </c>
      <c r="E7" s="104">
        <v>0.20643369558330865</v>
      </c>
      <c r="F7" s="104">
        <v>0.13458025284690492</v>
      </c>
      <c r="G7" s="255"/>
      <c r="H7" s="255"/>
      <c r="I7" s="255"/>
      <c r="J7" s="255"/>
      <c r="K7" s="255"/>
      <c r="L7" s="255"/>
      <c r="M7" s="255"/>
      <c r="N7" s="253"/>
      <c r="O7" s="256"/>
    </row>
    <row r="8" spans="1:15" x14ac:dyDescent="0.25">
      <c r="A8" s="134" t="s">
        <v>3</v>
      </c>
      <c r="B8" s="105">
        <v>0.13537867916119389</v>
      </c>
      <c r="C8" s="105">
        <v>0.12976619435188733</v>
      </c>
      <c r="D8" s="105">
        <v>0.18112052903798534</v>
      </c>
      <c r="E8" s="105">
        <v>0.20848130579491864</v>
      </c>
      <c r="F8" s="105">
        <v>0.14053404912408957</v>
      </c>
      <c r="G8" s="255"/>
      <c r="H8" s="255"/>
      <c r="I8" s="255"/>
      <c r="J8" s="255"/>
      <c r="K8" s="255"/>
      <c r="L8" s="255"/>
      <c r="M8" s="255"/>
      <c r="N8" s="253"/>
      <c r="O8" s="256"/>
    </row>
    <row r="9" spans="1:15" x14ac:dyDescent="0.25">
      <c r="A9" s="176" t="s">
        <v>4</v>
      </c>
      <c r="B9" s="104">
        <v>0.14631907664688662</v>
      </c>
      <c r="C9" s="104">
        <v>0.13411029874048341</v>
      </c>
      <c r="D9" s="104">
        <v>0.20813972367448705</v>
      </c>
      <c r="E9" s="104">
        <v>0.20780619723221058</v>
      </c>
      <c r="F9" s="104">
        <v>0.15064368657223975</v>
      </c>
      <c r="G9" s="254"/>
      <c r="H9" s="254"/>
      <c r="I9" s="254"/>
      <c r="J9" s="254"/>
      <c r="K9" s="254"/>
      <c r="L9" s="254"/>
      <c r="M9" s="253"/>
      <c r="N9" s="253"/>
      <c r="O9" s="256"/>
    </row>
    <row r="10" spans="1:15" x14ac:dyDescent="0.25">
      <c r="A10" s="134" t="s">
        <v>395</v>
      </c>
      <c r="B10" s="105">
        <v>0.16364225365174981</v>
      </c>
      <c r="C10" s="105">
        <v>0.1576322447750296</v>
      </c>
      <c r="D10" s="105">
        <v>0.23287184345397427</v>
      </c>
      <c r="E10" s="105">
        <v>0.22142830410857006</v>
      </c>
      <c r="F10" s="105">
        <v>0.17541314643513867</v>
      </c>
      <c r="G10" s="254"/>
      <c r="H10" s="254"/>
      <c r="I10" s="254"/>
      <c r="J10" s="254"/>
      <c r="K10" s="254"/>
      <c r="L10" s="253"/>
      <c r="M10" s="253"/>
      <c r="N10" s="253"/>
      <c r="O10" s="256"/>
    </row>
    <row r="11" spans="1:15" x14ac:dyDescent="0.25">
      <c r="A11" s="176" t="s">
        <v>413</v>
      </c>
      <c r="B11" s="104">
        <v>0.17306399583981935</v>
      </c>
      <c r="C11" s="104">
        <v>0.17433169720797428</v>
      </c>
      <c r="D11" s="104">
        <v>0.2383988381137222</v>
      </c>
      <c r="E11" s="104">
        <v>0.22351498402608491</v>
      </c>
      <c r="F11" s="104">
        <v>0.18775286533235169</v>
      </c>
      <c r="G11" s="254"/>
      <c r="H11" s="254"/>
      <c r="I11" s="254"/>
      <c r="J11" s="254"/>
      <c r="K11" s="253"/>
      <c r="L11" s="253"/>
      <c r="M11" s="253"/>
      <c r="N11" s="253"/>
      <c r="O11" s="256"/>
    </row>
    <row r="12" spans="1:15" x14ac:dyDescent="0.25">
      <c r="A12" s="134" t="s">
        <v>489</v>
      </c>
      <c r="B12" s="105">
        <v>0.16952783755693726</v>
      </c>
      <c r="C12" s="105">
        <v>0.16676219916095736</v>
      </c>
      <c r="D12" s="105">
        <v>0.24763113848813917</v>
      </c>
      <c r="E12" s="105">
        <v>0.22021479130935151</v>
      </c>
      <c r="F12" s="105">
        <v>0.18392872582158828</v>
      </c>
      <c r="G12" s="254"/>
      <c r="H12" s="254"/>
      <c r="I12" s="254"/>
      <c r="J12" s="254"/>
      <c r="K12" s="253"/>
      <c r="L12" s="253"/>
      <c r="M12" s="253"/>
      <c r="N12" s="253"/>
      <c r="O12" s="256"/>
    </row>
    <row r="13" spans="1:15" x14ac:dyDescent="0.25">
      <c r="A13" s="176" t="s">
        <v>524</v>
      </c>
      <c r="B13" s="104">
        <v>0.1818639161025816</v>
      </c>
      <c r="C13" s="104">
        <v>0.18375103224365893</v>
      </c>
      <c r="D13" s="104">
        <v>0.26678761815896518</v>
      </c>
      <c r="E13" s="104">
        <v>0.21819281643925381</v>
      </c>
      <c r="F13" s="104">
        <v>0.19864631547734241</v>
      </c>
      <c r="G13" s="254"/>
      <c r="H13" s="254"/>
      <c r="I13" s="254"/>
      <c r="J13" s="254"/>
      <c r="K13" s="253"/>
      <c r="L13" s="253"/>
      <c r="M13" s="253"/>
      <c r="N13" s="253"/>
      <c r="O13" s="256"/>
    </row>
    <row r="14" spans="1:15" x14ac:dyDescent="0.25">
      <c r="A14" s="134" t="s">
        <v>718</v>
      </c>
      <c r="B14" s="105">
        <v>0.18628786677070161</v>
      </c>
      <c r="C14" s="105">
        <v>0.19089918210387044</v>
      </c>
      <c r="D14" s="105">
        <v>0.27868328528176345</v>
      </c>
      <c r="E14" s="105">
        <v>0.20549655989079155</v>
      </c>
      <c r="F14" s="105">
        <v>0.20454846151012934</v>
      </c>
      <c r="G14" s="254"/>
      <c r="H14" s="254"/>
      <c r="I14" s="254"/>
      <c r="J14" s="254"/>
      <c r="K14" s="253"/>
      <c r="L14" s="253"/>
      <c r="M14" s="253"/>
      <c r="N14" s="253"/>
      <c r="O14" s="257"/>
    </row>
    <row r="15" spans="1:15" x14ac:dyDescent="0.25">
      <c r="A15" s="176" t="s">
        <v>877</v>
      </c>
      <c r="B15" s="104">
        <v>0.19347090893552529</v>
      </c>
      <c r="C15" s="104">
        <v>0.20405586332333905</v>
      </c>
      <c r="D15" s="104">
        <v>0.28311250293866075</v>
      </c>
      <c r="E15" s="104">
        <v>0.19716186675689412</v>
      </c>
      <c r="F15" s="104">
        <v>0.21239705254704441</v>
      </c>
    </row>
    <row r="30" spans="2:6" x14ac:dyDescent="0.25">
      <c r="B30" s="73"/>
      <c r="C30" s="73"/>
      <c r="D30" s="73"/>
      <c r="E30" s="73"/>
      <c r="F30" s="73"/>
    </row>
    <row r="31" spans="2:6" x14ac:dyDescent="0.25">
      <c r="B31" s="73"/>
      <c r="C31" s="73"/>
      <c r="D31" s="73"/>
      <c r="E31" s="73"/>
      <c r="F31" s="73"/>
    </row>
    <row r="32" spans="2:6" x14ac:dyDescent="0.25">
      <c r="B32" s="73"/>
      <c r="C32" s="73"/>
      <c r="D32" s="73"/>
      <c r="E32" s="73"/>
      <c r="F32" s="73"/>
    </row>
    <row r="33" spans="2:2" x14ac:dyDescent="0.25">
      <c r="B33" s="73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Plan190"/>
  <dimension ref="A1:H15"/>
  <sheetViews>
    <sheetView showGridLines="0" workbookViewId="0">
      <selection activeCell="F6" sqref="F6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F1" s="78" t="s">
        <v>335</v>
      </c>
      <c r="G1" s="78" t="s">
        <v>1408</v>
      </c>
      <c r="H1" s="78" t="s">
        <v>1409</v>
      </c>
    </row>
    <row r="3" spans="1:8" x14ac:dyDescent="0.25">
      <c r="A3" s="350" t="str">
        <f>"Tabela Referente à "&amp;G1</f>
        <v>Tabela Referente à Figura 7.37</v>
      </c>
      <c r="B3" s="350"/>
      <c r="C3" s="350"/>
      <c r="D3" s="350"/>
      <c r="E3" s="350"/>
      <c r="F3" s="350"/>
    </row>
    <row r="4" spans="1:8" ht="15" customHeight="1" x14ac:dyDescent="0.25">
      <c r="A4" s="362" t="str">
        <f>H1</f>
        <v>RASK Passagem Aérea (R$/ASK) por empresa, 2015 a 2018</v>
      </c>
      <c r="B4" s="362"/>
      <c r="C4" s="362"/>
      <c r="D4" s="362"/>
      <c r="E4" s="362"/>
      <c r="F4" s="362"/>
    </row>
    <row r="5" spans="1:8" x14ac:dyDescent="0.25">
      <c r="A5" s="86" t="str">
        <f>'Fig 7.36'!A5</f>
        <v>Ano</v>
      </c>
      <c r="B5" s="91" t="str">
        <f>'Fig 7.36'!B5</f>
        <v>Latam</v>
      </c>
      <c r="C5" s="91" t="str">
        <f>'Fig 7.36'!C5</f>
        <v>Gol</v>
      </c>
      <c r="D5" s="91" t="str">
        <f>'Fig 7.36'!D5</f>
        <v>Azul</v>
      </c>
      <c r="E5" s="91" t="str">
        <f>'Fig 7.36'!E5</f>
        <v>Avianca</v>
      </c>
      <c r="F5" s="91" t="str">
        <f>'Fig 7.36'!F5</f>
        <v>Indústria</v>
      </c>
    </row>
    <row r="6" spans="1:8" x14ac:dyDescent="0.25">
      <c r="A6" s="134" t="str">
        <f>'Fig 7.36'!A6</f>
        <v>2009</v>
      </c>
      <c r="B6" s="105">
        <f>'Fig 7.36'!B6</f>
        <v>0.1188597557255838</v>
      </c>
      <c r="C6" s="105">
        <f>'Fig 7.36'!C6</f>
        <v>0.13677437555489397</v>
      </c>
      <c r="D6" s="105">
        <f>'Fig 7.36'!D6</f>
        <v>0.1333029260035892</v>
      </c>
      <c r="E6" s="105">
        <f>'Fig 7.36'!E6</f>
        <v>0.18545842657368763</v>
      </c>
      <c r="F6" s="105">
        <f>'Fig 7.36'!F6</f>
        <v>0.12883278230505962</v>
      </c>
    </row>
    <row r="7" spans="1:8" x14ac:dyDescent="0.25">
      <c r="A7" s="176" t="str">
        <f>'Fig 7.36'!A7</f>
        <v>2010</v>
      </c>
      <c r="B7" s="104">
        <f>'Fig 7.36'!B7</f>
        <v>0.1290333694075394</v>
      </c>
      <c r="C7" s="104">
        <f>'Fig 7.36'!C7</f>
        <v>0.13014290713887766</v>
      </c>
      <c r="D7" s="104">
        <f>'Fig 7.36'!D7</f>
        <v>0.15450909754776784</v>
      </c>
      <c r="E7" s="104">
        <f>'Fig 7.36'!E7</f>
        <v>0.20643369558330865</v>
      </c>
      <c r="F7" s="104">
        <f>'Fig 7.36'!F7</f>
        <v>0.13458025284690492</v>
      </c>
    </row>
    <row r="8" spans="1:8" x14ac:dyDescent="0.25">
      <c r="A8" s="134" t="str">
        <f>'Fig 7.36'!A8</f>
        <v>2011</v>
      </c>
      <c r="B8" s="105">
        <f>'Fig 7.36'!B8</f>
        <v>0.13537867916119389</v>
      </c>
      <c r="C8" s="105">
        <f>'Fig 7.36'!C8</f>
        <v>0.12976619435188733</v>
      </c>
      <c r="D8" s="105">
        <f>'Fig 7.36'!D8</f>
        <v>0.18112052903798534</v>
      </c>
      <c r="E8" s="105">
        <f>'Fig 7.36'!E8</f>
        <v>0.20848130579491864</v>
      </c>
      <c r="F8" s="105">
        <f>'Fig 7.36'!F8</f>
        <v>0.14053404912408957</v>
      </c>
    </row>
    <row r="9" spans="1:8" x14ac:dyDescent="0.25">
      <c r="A9" s="176" t="str">
        <f>'Fig 7.36'!A9</f>
        <v>2012</v>
      </c>
      <c r="B9" s="104">
        <f>'Fig 7.36'!B9</f>
        <v>0.14631907664688662</v>
      </c>
      <c r="C9" s="104">
        <f>'Fig 7.36'!C9</f>
        <v>0.13411029874048341</v>
      </c>
      <c r="D9" s="104">
        <f>'Fig 7.36'!D9</f>
        <v>0.20813972367448705</v>
      </c>
      <c r="E9" s="104">
        <f>'Fig 7.36'!E9</f>
        <v>0.20780619723221058</v>
      </c>
      <c r="F9" s="104">
        <f>'Fig 7.36'!F9</f>
        <v>0.15064368657223975</v>
      </c>
    </row>
    <row r="10" spans="1:8" x14ac:dyDescent="0.25">
      <c r="A10" s="134" t="str">
        <f>'Fig 7.36'!A10</f>
        <v>2013</v>
      </c>
      <c r="B10" s="105">
        <f>'Fig 7.36'!B10</f>
        <v>0.16364225365174981</v>
      </c>
      <c r="C10" s="105">
        <f>'Fig 7.36'!C10</f>
        <v>0.1576322447750296</v>
      </c>
      <c r="D10" s="105">
        <f>'Fig 7.36'!D10</f>
        <v>0.23287184345397427</v>
      </c>
      <c r="E10" s="105">
        <f>'Fig 7.36'!E10</f>
        <v>0.22142830410857006</v>
      </c>
      <c r="F10" s="105">
        <f>'Fig 7.36'!F10</f>
        <v>0.17541314643513867</v>
      </c>
    </row>
    <row r="11" spans="1:8" x14ac:dyDescent="0.25">
      <c r="A11" s="176" t="str">
        <f>'Fig 7.36'!A11</f>
        <v>2014</v>
      </c>
      <c r="B11" s="104">
        <f>'Fig 7.36'!B11</f>
        <v>0.17306399583981935</v>
      </c>
      <c r="C11" s="104">
        <f>'Fig 7.36'!C11</f>
        <v>0.17433169720797428</v>
      </c>
      <c r="D11" s="104">
        <f>'Fig 7.36'!D11</f>
        <v>0.2383988381137222</v>
      </c>
      <c r="E11" s="104">
        <f>'Fig 7.36'!E11</f>
        <v>0.22351498402608491</v>
      </c>
      <c r="F11" s="104">
        <f>'Fig 7.36'!F11</f>
        <v>0.18775286533235169</v>
      </c>
    </row>
    <row r="12" spans="1:8" x14ac:dyDescent="0.25">
      <c r="A12" s="134" t="str">
        <f>'Fig 7.36'!A12</f>
        <v>2015</v>
      </c>
      <c r="B12" s="105">
        <f>'Fig 7.36'!B12</f>
        <v>0.16952783755693726</v>
      </c>
      <c r="C12" s="105">
        <f>'Fig 7.36'!C12</f>
        <v>0.16676219916095736</v>
      </c>
      <c r="D12" s="105">
        <f>'Fig 7.36'!D12</f>
        <v>0.24763113848813917</v>
      </c>
      <c r="E12" s="105">
        <f>'Fig 7.36'!E12</f>
        <v>0.22021479130935151</v>
      </c>
      <c r="F12" s="105">
        <f>'Fig 7.36'!F12</f>
        <v>0.18392872582158828</v>
      </c>
    </row>
    <row r="13" spans="1:8" x14ac:dyDescent="0.25">
      <c r="A13" s="176" t="str">
        <f>'Fig 7.36'!A13</f>
        <v>2016</v>
      </c>
      <c r="B13" s="104">
        <f>'Fig 7.36'!B13</f>
        <v>0.1818639161025816</v>
      </c>
      <c r="C13" s="104">
        <f>'Fig 7.36'!C13</f>
        <v>0.18375103224365893</v>
      </c>
      <c r="D13" s="104">
        <f>'Fig 7.36'!D13</f>
        <v>0.26678761815896518</v>
      </c>
      <c r="E13" s="104">
        <f>'Fig 7.36'!E13</f>
        <v>0.21819281643925381</v>
      </c>
      <c r="F13" s="104">
        <f>'Fig 7.36'!F13</f>
        <v>0.19864631547734241</v>
      </c>
    </row>
    <row r="14" spans="1:8" x14ac:dyDescent="0.25">
      <c r="A14" s="134" t="str">
        <f>'Fig 7.36'!A14</f>
        <v>2017</v>
      </c>
      <c r="B14" s="105">
        <f>'Fig 7.36'!B14</f>
        <v>0.18628786677070161</v>
      </c>
      <c r="C14" s="105">
        <f>'Fig 7.36'!C14</f>
        <v>0.19089918210387044</v>
      </c>
      <c r="D14" s="105">
        <f>'Fig 7.36'!D14</f>
        <v>0.27868328528176345</v>
      </c>
      <c r="E14" s="105">
        <f>'Fig 7.36'!E14</f>
        <v>0.20549655989079155</v>
      </c>
      <c r="F14" s="105">
        <f>'Fig 7.36'!F14</f>
        <v>0.20454846151012934</v>
      </c>
    </row>
    <row r="15" spans="1:8" x14ac:dyDescent="0.25">
      <c r="A15" s="176" t="str">
        <f>'Fig 7.36'!A15</f>
        <v>2018</v>
      </c>
      <c r="B15" s="104">
        <f>'Fig 7.36'!B15</f>
        <v>0.19347090893552529</v>
      </c>
      <c r="C15" s="104">
        <f>'Fig 7.36'!C15</f>
        <v>0.20405586332333905</v>
      </c>
      <c r="D15" s="104">
        <f>'Fig 7.36'!D15</f>
        <v>0.28311250293866075</v>
      </c>
      <c r="E15" s="104">
        <f>'Fig 7.36'!E15</f>
        <v>0.19716186675689412</v>
      </c>
      <c r="F15" s="104">
        <f>'Fig 7.36'!F15</f>
        <v>0.21239705254704441</v>
      </c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drawing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Plan212"/>
  <dimension ref="A1:L33"/>
  <sheetViews>
    <sheetView showGridLines="0" workbookViewId="0">
      <selection activeCell="F6" sqref="F6"/>
    </sheetView>
  </sheetViews>
  <sheetFormatPr defaultRowHeight="15" x14ac:dyDescent="0.25"/>
  <cols>
    <col min="2" max="4" width="15.28515625" bestFit="1" customWidth="1"/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1410</v>
      </c>
      <c r="H1" s="78" t="s">
        <v>1411</v>
      </c>
    </row>
    <row r="3" spans="1:8" x14ac:dyDescent="0.25">
      <c r="A3" s="350" t="str">
        <f>"Tabela Referente à "&amp;G1</f>
        <v>Tabela Referente à Figura 7.38</v>
      </c>
      <c r="B3" s="350"/>
      <c r="C3" s="350"/>
      <c r="D3" s="350"/>
      <c r="E3" s="350"/>
      <c r="F3" s="350"/>
    </row>
    <row r="4" spans="1:8" ht="15" customHeight="1" x14ac:dyDescent="0.25">
      <c r="A4" s="362" t="str">
        <f>H1</f>
        <v>RASK/CASK da indústria, 2009 a 2018</v>
      </c>
      <c r="B4" s="362"/>
      <c r="C4" s="362"/>
      <c r="D4" s="362"/>
      <c r="E4" s="362"/>
      <c r="F4" s="362"/>
    </row>
    <row r="5" spans="1:8" x14ac:dyDescent="0.25">
      <c r="A5" s="86" t="s">
        <v>20</v>
      </c>
      <c r="B5" s="91" t="str">
        <f>'Fig 7.32'!B5</f>
        <v>Latam</v>
      </c>
      <c r="C5" s="91" t="str">
        <f>'Fig 7.32'!C5</f>
        <v>Gol</v>
      </c>
      <c r="D5" s="91" t="str">
        <f>'Fig 7.32'!D5</f>
        <v>Azul</v>
      </c>
      <c r="E5" s="91" t="str">
        <f>'Fig 7.32'!E5</f>
        <v>Avianca</v>
      </c>
      <c r="F5" s="91" t="str">
        <f>'Fig 7.32'!F5</f>
        <v>Indústria</v>
      </c>
    </row>
    <row r="6" spans="1:8" x14ac:dyDescent="0.25">
      <c r="A6" s="176" t="str">
        <f>'Fig 7.32'!A6</f>
        <v>2009</v>
      </c>
      <c r="B6" s="104">
        <f>IFERROR('Fig 7.32'!B6/'Fig 7.34'!B6,0)</f>
        <v>0.91340916948286688</v>
      </c>
      <c r="C6" s="104">
        <f>IFERROR('Fig 7.32'!C6/'Fig 7.34'!C6,0)</f>
        <v>1.0525997677172565</v>
      </c>
      <c r="D6" s="104">
        <f>IFERROR('Fig 7.32'!D6/'Fig 7.34'!D6,0)</f>
        <v>0.73155182500240712</v>
      </c>
      <c r="E6" s="104">
        <f>IFERROR('Fig 7.32'!E6/'Fig 7.34'!E6,0)</f>
        <v>0.85399451773151847</v>
      </c>
      <c r="F6" s="104">
        <f>IFERROR('Fig 7.32'!F6/'Fig 7.34'!F6,0)</f>
        <v>0.95417485629710852</v>
      </c>
    </row>
    <row r="7" spans="1:8" x14ac:dyDescent="0.25">
      <c r="A7" s="134" t="str">
        <f>'Fig 7.32'!A7</f>
        <v>2010</v>
      </c>
      <c r="B7" s="105">
        <f>IFERROR('Fig 7.32'!B7/'Fig 7.34'!B7,0)</f>
        <v>0.95632288577934843</v>
      </c>
      <c r="C7" s="105">
        <f>IFERROR('Fig 7.32'!C7/'Fig 7.34'!C7,0)</f>
        <v>1.0946193091542984</v>
      </c>
      <c r="D7" s="105">
        <f>IFERROR('Fig 7.32'!D7/'Fig 7.34'!D7,0)</f>
        <v>0.94368130596024435</v>
      </c>
      <c r="E7" s="105">
        <f>IFERROR('Fig 7.32'!E7/'Fig 7.34'!E7,0)</f>
        <v>0.90535526773081876</v>
      </c>
      <c r="F7" s="105">
        <f>IFERROR('Fig 7.32'!F7/'Fig 7.34'!F7,0)</f>
        <v>1.0051939714493292</v>
      </c>
    </row>
    <row r="8" spans="1:8" x14ac:dyDescent="0.25">
      <c r="A8" s="176" t="str">
        <f>'Fig 7.32'!A8</f>
        <v>2011</v>
      </c>
      <c r="B8" s="104">
        <f>IFERROR('Fig 7.32'!B8/'Fig 7.34'!B8,0)</f>
        <v>0.96250361949523777</v>
      </c>
      <c r="C8" s="104">
        <f>IFERROR('Fig 7.32'!C8/'Fig 7.34'!C8,0)</f>
        <v>0.96831470694237953</v>
      </c>
      <c r="D8" s="104">
        <f>IFERROR('Fig 7.32'!D8/'Fig 7.34'!D8,0)</f>
        <v>1.0118912562994855</v>
      </c>
      <c r="E8" s="104">
        <f>IFERROR('Fig 7.32'!E8/'Fig 7.34'!E8,0)</f>
        <v>0.95374163386753985</v>
      </c>
      <c r="F8" s="104">
        <f>IFERROR('Fig 7.32'!F8/'Fig 7.34'!F8,0)</f>
        <v>0.95771050681751546</v>
      </c>
    </row>
    <row r="9" spans="1:8" x14ac:dyDescent="0.25">
      <c r="A9" s="134" t="str">
        <f>'Fig 7.32'!A9</f>
        <v>2012</v>
      </c>
      <c r="B9" s="105">
        <f>IFERROR('Fig 7.32'!B9/'Fig 7.34'!B9,0)</f>
        <v>0.8693131525030694</v>
      </c>
      <c r="C9" s="105">
        <f>IFERROR('Fig 7.32'!C9/'Fig 7.34'!C9,0)</f>
        <v>0.90234260648088638</v>
      </c>
      <c r="D9" s="105">
        <f>IFERROR('Fig 7.32'!D9/'Fig 7.34'!D9,0)</f>
        <v>0.98137890980715381</v>
      </c>
      <c r="E9" s="105">
        <f>IFERROR('Fig 7.32'!E9/'Fig 7.34'!E9,0)</f>
        <v>0.96311171123464501</v>
      </c>
      <c r="F9" s="105">
        <f>IFERROR('Fig 7.32'!F9/'Fig 7.34'!F9,0)</f>
        <v>0.89495013189185291</v>
      </c>
    </row>
    <row r="10" spans="1:8" x14ac:dyDescent="0.25">
      <c r="A10" s="176" t="str">
        <f>'Fig 7.32'!A10</f>
        <v>2013</v>
      </c>
      <c r="B10" s="104">
        <f>IFERROR('Fig 7.32'!B10/'Fig 7.34'!B10,0)</f>
        <v>0.90781913896654043</v>
      </c>
      <c r="C10" s="104">
        <f>IFERROR('Fig 7.32'!C10/'Fig 7.34'!C10,0)</f>
        <v>0.99729647952568956</v>
      </c>
      <c r="D10" s="104">
        <f>IFERROR('Fig 7.32'!D10/'Fig 7.34'!D10,0)</f>
        <v>1.102318720295014</v>
      </c>
      <c r="E10" s="104">
        <f>IFERROR('Fig 7.32'!E10/'Fig 7.34'!E10,0)</f>
        <v>1.0290951096707543</v>
      </c>
      <c r="F10" s="104">
        <f>IFERROR('Fig 7.32'!F10/'Fig 7.34'!F10,0)</f>
        <v>0.98227712168235648</v>
      </c>
    </row>
    <row r="11" spans="1:8" x14ac:dyDescent="0.25">
      <c r="A11" s="134" t="str">
        <f>'Fig 7.32'!A11</f>
        <v>2014</v>
      </c>
      <c r="B11" s="105">
        <f>IFERROR('Fig 7.32'!B11/'Fig 7.34'!B11,0)</f>
        <v>0.92706349914685604</v>
      </c>
      <c r="C11" s="105">
        <f>IFERROR('Fig 7.32'!C11/'Fig 7.34'!C11,0)</f>
        <v>1.0079626108118547</v>
      </c>
      <c r="D11" s="105">
        <f>IFERROR('Fig 7.32'!D11/'Fig 7.34'!D11,0)</f>
        <v>1.0698790957790769</v>
      </c>
      <c r="E11" s="105">
        <f>IFERROR('Fig 7.32'!E11/'Fig 7.34'!E11,0)</f>
        <v>1.0171463508029253</v>
      </c>
      <c r="F11" s="105">
        <f>IFERROR('Fig 7.32'!F11/'Fig 7.34'!F11,0)</f>
        <v>0.98108232811027674</v>
      </c>
      <c r="G11" s="29"/>
    </row>
    <row r="12" spans="1:8" x14ac:dyDescent="0.25">
      <c r="A12" s="176" t="str">
        <f>'Fig 7.32'!A12</f>
        <v>2015</v>
      </c>
      <c r="B12" s="104">
        <f>IFERROR('Fig 7.32'!B12/'Fig 7.34'!B12,0)</f>
        <v>0.98702348765903669</v>
      </c>
      <c r="C12" s="104">
        <f>IFERROR('Fig 7.32'!C12/'Fig 7.34'!C12,0)</f>
        <v>1.0033255198430782</v>
      </c>
      <c r="D12" s="104">
        <f>IFERROR('Fig 7.32'!D12/'Fig 7.34'!D12,0)</f>
        <v>1.0027430523349155</v>
      </c>
      <c r="E12" s="104">
        <f>IFERROR('Fig 7.32'!E12/'Fig 7.34'!E12,0)</f>
        <v>1.113773324552916</v>
      </c>
      <c r="F12" s="104">
        <f>IFERROR('Fig 7.32'!F12/'Fig 7.34'!F12,0)</f>
        <v>1.0073782983738311</v>
      </c>
      <c r="G12" s="29"/>
    </row>
    <row r="13" spans="1:8" x14ac:dyDescent="0.25">
      <c r="A13" s="134" t="str">
        <f>'Fig 7.32'!A13</f>
        <v>2016</v>
      </c>
      <c r="B13" s="105">
        <f>IFERROR('Fig 7.32'!B13/'Fig 7.34'!B13,0)</f>
        <v>0.97778225613524339</v>
      </c>
      <c r="C13" s="105">
        <f>IFERROR('Fig 7.32'!C13/'Fig 7.34'!C13,0)</f>
        <v>1.103460978816029</v>
      </c>
      <c r="D13" s="105">
        <f>IFERROR('Fig 7.32'!D13/'Fig 7.34'!D13,0)</f>
        <v>1.0712116445521656</v>
      </c>
      <c r="E13" s="105">
        <f>IFERROR('Fig 7.32'!E13/'Fig 7.34'!E13,0)</f>
        <v>1.1184794148733204</v>
      </c>
      <c r="F13" s="105">
        <f>IFERROR('Fig 7.32'!F13/'Fig 7.34'!F13,0)</f>
        <v>1.0438216344302242</v>
      </c>
      <c r="G13" s="210"/>
    </row>
    <row r="14" spans="1:8" x14ac:dyDescent="0.25">
      <c r="A14" s="176" t="str">
        <f>'Fig 7.32'!A14</f>
        <v>2017</v>
      </c>
      <c r="B14" s="104">
        <f>IFERROR('Fig 7.32'!B14/'Fig 7.34'!B14,0)</f>
        <v>1.0639195268283752</v>
      </c>
      <c r="C14" s="104">
        <f>IFERROR('Fig 7.32'!C14/'Fig 7.34'!C14,0)</f>
        <v>1.0981110807518342</v>
      </c>
      <c r="D14" s="104">
        <f>IFERROR('Fig 7.32'!D14/'Fig 7.34'!D14,0)</f>
        <v>1.1631360643956965</v>
      </c>
      <c r="E14" s="104">
        <f>IFERROR('Fig 7.32'!E14/'Fig 7.34'!E14,0)</f>
        <v>1.0559811526629437</v>
      </c>
      <c r="F14" s="104">
        <f>IFERROR('Fig 7.32'!F14/'Fig 7.34'!F14,0)</f>
        <v>1.0913086577041329</v>
      </c>
      <c r="G14" s="210">
        <f>F14/F13-1</f>
        <v>4.5493426949164251E-2</v>
      </c>
    </row>
    <row r="15" spans="1:8" x14ac:dyDescent="0.25">
      <c r="A15" s="134" t="str">
        <f>'Fig 7.32'!A15</f>
        <v>2018</v>
      </c>
      <c r="B15" s="105">
        <f>IFERROR('Fig 7.32'!B15/'Fig 7.34'!B15,0)</f>
        <v>0.99280872353446836</v>
      </c>
      <c r="C15" s="105">
        <f>IFERROR('Fig 7.32'!C15/'Fig 7.34'!C15,0)</f>
        <v>1.063916401704941</v>
      </c>
      <c r="D15" s="105">
        <f>IFERROR('Fig 7.32'!D15/'Fig 7.34'!D15,0)</f>
        <v>1.1054040754909074</v>
      </c>
      <c r="E15" s="105">
        <f>IFERROR('Fig 7.32'!E15/'Fig 7.34'!E15,0)</f>
        <v>0.96286762819234251</v>
      </c>
      <c r="F15" s="105">
        <f>IFERROR('Fig 7.32'!F15/'Fig 7.34'!F15,0)</f>
        <v>1.0308826193666099</v>
      </c>
      <c r="G15" s="210">
        <f>IFERROR('Fig 7.34'!F13/'Fig 7.32'!F13,0)-1</f>
        <v>-4.198191815993968E-2</v>
      </c>
    </row>
    <row r="16" spans="1:8" x14ac:dyDescent="0.25">
      <c r="A16" s="29"/>
      <c r="B16" s="29"/>
      <c r="C16" s="29"/>
      <c r="D16" s="29"/>
      <c r="E16" s="29"/>
      <c r="F16" s="29"/>
      <c r="G16" s="29"/>
    </row>
    <row r="17" spans="1:12" x14ac:dyDescent="0.25">
      <c r="A17" s="29"/>
      <c r="B17" s="29"/>
      <c r="C17" s="29"/>
      <c r="D17" s="29"/>
      <c r="E17" s="29"/>
      <c r="F17" s="29"/>
      <c r="G17" s="29"/>
    </row>
    <row r="18" spans="1:12" x14ac:dyDescent="0.25">
      <c r="A18" s="29"/>
      <c r="B18" s="29"/>
      <c r="C18" s="29"/>
      <c r="D18" s="29"/>
      <c r="E18" s="29"/>
      <c r="F18" s="29"/>
      <c r="G18" s="29"/>
    </row>
    <row r="19" spans="1:12" x14ac:dyDescent="0.25">
      <c r="A19" s="29"/>
      <c r="B19" s="29"/>
      <c r="C19" s="29"/>
      <c r="D19" s="29"/>
      <c r="E19" s="29"/>
      <c r="F19" s="29"/>
      <c r="G19" s="29"/>
    </row>
    <row r="20" spans="1:12" x14ac:dyDescent="0.25">
      <c r="A20" s="29"/>
      <c r="B20" s="29"/>
      <c r="C20" s="29"/>
      <c r="D20" s="29"/>
      <c r="E20" s="29"/>
      <c r="F20" s="29"/>
      <c r="G20" s="29"/>
    </row>
    <row r="21" spans="1:12" x14ac:dyDescent="0.25">
      <c r="A21" s="29"/>
      <c r="B21" s="29"/>
      <c r="C21" s="29"/>
      <c r="D21" s="29"/>
      <c r="E21" s="29"/>
      <c r="F21" s="29"/>
      <c r="G21" s="29"/>
    </row>
    <row r="22" spans="1:12" x14ac:dyDescent="0.25">
      <c r="A22" s="29"/>
      <c r="B22" s="29"/>
      <c r="C22" s="29"/>
      <c r="D22" s="29"/>
      <c r="E22" s="29"/>
      <c r="F22" s="29"/>
      <c r="G22" s="66"/>
    </row>
    <row r="23" spans="1:12" x14ac:dyDescent="0.25">
      <c r="A23" s="29"/>
      <c r="B23" s="66"/>
      <c r="C23" s="66"/>
      <c r="D23" s="66"/>
      <c r="E23" s="66"/>
      <c r="F23" s="66"/>
      <c r="G23" s="66"/>
    </row>
    <row r="24" spans="1:12" x14ac:dyDescent="0.25">
      <c r="A24" s="29"/>
      <c r="B24" s="66"/>
      <c r="C24" s="66"/>
      <c r="D24" s="66"/>
      <c r="E24" s="66"/>
      <c r="F24" s="66"/>
    </row>
    <row r="25" spans="1:12" x14ac:dyDescent="0.25">
      <c r="A25" s="29"/>
      <c r="B25" s="66"/>
      <c r="C25" s="66"/>
      <c r="D25" s="66"/>
      <c r="E25" s="66"/>
      <c r="F25" s="66"/>
    </row>
    <row r="27" spans="1:12" x14ac:dyDescent="0.25">
      <c r="B27" s="139"/>
      <c r="L27" s="146"/>
    </row>
    <row r="28" spans="1:12" x14ac:dyDescent="0.25">
      <c r="B28" s="139"/>
      <c r="C28" s="139"/>
      <c r="D28" s="139"/>
      <c r="E28" s="139"/>
      <c r="F28" s="139"/>
      <c r="L28" s="146"/>
    </row>
    <row r="29" spans="1:12" x14ac:dyDescent="0.25">
      <c r="B29" s="139"/>
      <c r="C29" s="139"/>
      <c r="D29" s="139"/>
      <c r="E29" s="139"/>
      <c r="F29" s="139"/>
      <c r="L29" s="146"/>
    </row>
    <row r="30" spans="1:12" x14ac:dyDescent="0.25">
      <c r="B30" s="139"/>
      <c r="C30" s="139"/>
      <c r="D30" s="139"/>
      <c r="E30" s="139"/>
      <c r="F30" s="139"/>
      <c r="L30" s="146"/>
    </row>
    <row r="31" spans="1:12" x14ac:dyDescent="0.25">
      <c r="B31" s="139"/>
      <c r="C31" s="139"/>
      <c r="D31" s="139"/>
      <c r="E31" s="139"/>
      <c r="F31" s="139"/>
      <c r="L31" s="146"/>
    </row>
    <row r="32" spans="1:12" x14ac:dyDescent="0.25">
      <c r="B32" s="139"/>
      <c r="C32" s="139"/>
      <c r="D32" s="139"/>
      <c r="E32" s="139"/>
      <c r="F32" s="139"/>
      <c r="L32" s="146"/>
    </row>
    <row r="33" spans="12:12" x14ac:dyDescent="0.25">
      <c r="L33" s="146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Plan213"/>
  <dimension ref="A1:H34"/>
  <sheetViews>
    <sheetView showGridLines="0" workbookViewId="0">
      <selection activeCell="F1" sqref="F1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1412</v>
      </c>
      <c r="H1" s="78" t="s">
        <v>1413</v>
      </c>
    </row>
    <row r="3" spans="1:8" x14ac:dyDescent="0.25">
      <c r="A3" s="350" t="str">
        <f>"Tabela Referente à "&amp;G1</f>
        <v>Tabela Referente à Figura 7.39</v>
      </c>
      <c r="B3" s="350"/>
      <c r="C3" s="350"/>
      <c r="D3" s="350"/>
      <c r="E3" s="350"/>
      <c r="F3" s="350"/>
    </row>
    <row r="4" spans="1:8" x14ac:dyDescent="0.25">
      <c r="A4" s="362" t="str">
        <f>H1</f>
        <v>RASK/CASK por empresa, 2015 a 2018</v>
      </c>
      <c r="B4" s="362"/>
      <c r="C4" s="362"/>
      <c r="D4" s="362"/>
      <c r="E4" s="362"/>
      <c r="F4" s="362"/>
    </row>
    <row r="5" spans="1:8" x14ac:dyDescent="0.25">
      <c r="A5" s="86" t="str">
        <f>'Fig 7.38'!A5</f>
        <v>Ano</v>
      </c>
      <c r="B5" s="106" t="str">
        <f>'Fig 7.38'!B5</f>
        <v>Latam</v>
      </c>
      <c r="C5" s="106" t="str">
        <f>'Fig 7.38'!C5</f>
        <v>Gol</v>
      </c>
      <c r="D5" s="106" t="str">
        <f>'Fig 7.38'!D5</f>
        <v>Azul</v>
      </c>
      <c r="E5" s="106" t="str">
        <f>'Fig 7.38'!E5</f>
        <v>Avianca</v>
      </c>
      <c r="F5" s="106" t="str">
        <f>'Fig 7.38'!F5</f>
        <v>Indústria</v>
      </c>
    </row>
    <row r="6" spans="1:8" x14ac:dyDescent="0.25">
      <c r="A6" s="176" t="str">
        <f>'Fig 7.38'!A6</f>
        <v>2009</v>
      </c>
      <c r="B6" s="104">
        <f>'Fig 7.38'!B6</f>
        <v>0.91340916948286688</v>
      </c>
      <c r="C6" s="104">
        <f>'Fig 7.38'!C6</f>
        <v>1.0525997677172565</v>
      </c>
      <c r="D6" s="104">
        <f>'Fig 7.38'!D6</f>
        <v>0.73155182500240712</v>
      </c>
      <c r="E6" s="104">
        <f>'Fig 7.38'!E6</f>
        <v>0.85399451773151847</v>
      </c>
      <c r="F6" s="104">
        <f>'Fig 7.38'!F6</f>
        <v>0.95417485629710852</v>
      </c>
    </row>
    <row r="7" spans="1:8" x14ac:dyDescent="0.25">
      <c r="A7" s="134" t="str">
        <f>'Fig 7.38'!A7</f>
        <v>2010</v>
      </c>
      <c r="B7" s="105">
        <f>'Fig 7.38'!B7</f>
        <v>0.95632288577934843</v>
      </c>
      <c r="C7" s="105">
        <f>'Fig 7.38'!C7</f>
        <v>1.0946193091542984</v>
      </c>
      <c r="D7" s="105">
        <f>'Fig 7.38'!D7</f>
        <v>0.94368130596024435</v>
      </c>
      <c r="E7" s="105">
        <f>'Fig 7.38'!E7</f>
        <v>0.90535526773081876</v>
      </c>
      <c r="F7" s="105">
        <f>'Fig 7.38'!F7</f>
        <v>1.0051939714493292</v>
      </c>
    </row>
    <row r="8" spans="1:8" x14ac:dyDescent="0.25">
      <c r="A8" s="176" t="str">
        <f>'Fig 7.38'!A8</f>
        <v>2011</v>
      </c>
      <c r="B8" s="104">
        <f>'Fig 7.38'!B8</f>
        <v>0.96250361949523777</v>
      </c>
      <c r="C8" s="104">
        <f>'Fig 7.38'!C8</f>
        <v>0.96831470694237953</v>
      </c>
      <c r="D8" s="104">
        <f>'Fig 7.38'!D8</f>
        <v>1.0118912562994855</v>
      </c>
      <c r="E8" s="104">
        <f>'Fig 7.38'!E8</f>
        <v>0.95374163386753985</v>
      </c>
      <c r="F8" s="104">
        <f>'Fig 7.38'!F8</f>
        <v>0.95771050681751546</v>
      </c>
    </row>
    <row r="9" spans="1:8" x14ac:dyDescent="0.25">
      <c r="A9" s="134" t="str">
        <f>'Fig 7.38'!A9</f>
        <v>2012</v>
      </c>
      <c r="B9" s="105">
        <f>'Fig 7.38'!B9</f>
        <v>0.8693131525030694</v>
      </c>
      <c r="C9" s="105">
        <f>'Fig 7.38'!C9</f>
        <v>0.90234260648088638</v>
      </c>
      <c r="D9" s="105">
        <f>'Fig 7.38'!D9</f>
        <v>0.98137890980715381</v>
      </c>
      <c r="E9" s="105">
        <f>'Fig 7.38'!E9</f>
        <v>0.96311171123464501</v>
      </c>
      <c r="F9" s="105">
        <f>'Fig 7.38'!F9</f>
        <v>0.89495013189185291</v>
      </c>
    </row>
    <row r="10" spans="1:8" x14ac:dyDescent="0.25">
      <c r="A10" s="176" t="str">
        <f>'Fig 7.38'!A10</f>
        <v>2013</v>
      </c>
      <c r="B10" s="104">
        <f>'Fig 7.38'!B10</f>
        <v>0.90781913896654043</v>
      </c>
      <c r="C10" s="104">
        <f>'Fig 7.38'!C10</f>
        <v>0.99729647952568956</v>
      </c>
      <c r="D10" s="104">
        <f>'Fig 7.38'!D10</f>
        <v>1.102318720295014</v>
      </c>
      <c r="E10" s="104">
        <f>'Fig 7.38'!E10</f>
        <v>1.0290951096707543</v>
      </c>
      <c r="F10" s="104">
        <f>'Fig 7.38'!F10</f>
        <v>0.98227712168235648</v>
      </c>
    </row>
    <row r="11" spans="1:8" x14ac:dyDescent="0.25">
      <c r="A11" s="134" t="str">
        <f>'Fig 7.38'!A11</f>
        <v>2014</v>
      </c>
      <c r="B11" s="105">
        <f>'Fig 7.38'!B11</f>
        <v>0.92706349914685604</v>
      </c>
      <c r="C11" s="105">
        <f>'Fig 7.38'!C11</f>
        <v>1.0079626108118547</v>
      </c>
      <c r="D11" s="105">
        <f>'Fig 7.38'!D11</f>
        <v>1.0698790957790769</v>
      </c>
      <c r="E11" s="105">
        <f>'Fig 7.38'!E11</f>
        <v>1.0171463508029253</v>
      </c>
      <c r="F11" s="105">
        <f>'Fig 7.38'!F11</f>
        <v>0.98108232811027674</v>
      </c>
    </row>
    <row r="12" spans="1:8" x14ac:dyDescent="0.25">
      <c r="A12" s="176" t="str">
        <f>'Fig 7.38'!A12</f>
        <v>2015</v>
      </c>
      <c r="B12" s="104">
        <f>'Fig 7.38'!B12</f>
        <v>0.98702348765903669</v>
      </c>
      <c r="C12" s="104">
        <f>'Fig 7.38'!C12</f>
        <v>1.0033255198430782</v>
      </c>
      <c r="D12" s="104">
        <f>'Fig 7.38'!D12</f>
        <v>1.0027430523349155</v>
      </c>
      <c r="E12" s="104">
        <f>'Fig 7.38'!E12</f>
        <v>1.113773324552916</v>
      </c>
      <c r="F12" s="104">
        <f>'Fig 7.38'!F12</f>
        <v>1.0073782983738311</v>
      </c>
    </row>
    <row r="13" spans="1:8" x14ac:dyDescent="0.25">
      <c r="A13" s="134" t="str">
        <f>'Fig 7.38'!A13</f>
        <v>2016</v>
      </c>
      <c r="B13" s="105">
        <f>'Fig 7.38'!B13</f>
        <v>0.97778225613524339</v>
      </c>
      <c r="C13" s="105">
        <f>'Fig 7.38'!C13</f>
        <v>1.103460978816029</v>
      </c>
      <c r="D13" s="105">
        <f>'Fig 7.38'!D13</f>
        <v>1.0712116445521656</v>
      </c>
      <c r="E13" s="105">
        <f>'Fig 7.38'!E13</f>
        <v>1.1184794148733204</v>
      </c>
      <c r="F13" s="105">
        <f>'Fig 7.38'!F13</f>
        <v>1.0438216344302242</v>
      </c>
    </row>
    <row r="14" spans="1:8" x14ac:dyDescent="0.25">
      <c r="A14" s="176" t="str">
        <f>'Fig 7.38'!A14</f>
        <v>2017</v>
      </c>
      <c r="B14" s="104">
        <f>'Fig 7.38'!B14</f>
        <v>1.0639195268283752</v>
      </c>
      <c r="C14" s="104">
        <f>'Fig 7.38'!C14</f>
        <v>1.0981110807518342</v>
      </c>
      <c r="D14" s="104">
        <f>'Fig 7.38'!D14</f>
        <v>1.1631360643956965</v>
      </c>
      <c r="E14" s="104">
        <f>'Fig 7.38'!E14</f>
        <v>1.0559811526629437</v>
      </c>
      <c r="F14" s="104">
        <f>'Fig 7.38'!F14</f>
        <v>1.0913086577041329</v>
      </c>
    </row>
    <row r="15" spans="1:8" x14ac:dyDescent="0.25">
      <c r="A15" s="134" t="str">
        <f>'Fig 7.38'!A15</f>
        <v>2018</v>
      </c>
      <c r="B15" s="105">
        <f>'Fig 7.38'!B15</f>
        <v>0.99280872353446836</v>
      </c>
      <c r="C15" s="105">
        <f>'Fig 7.38'!C15</f>
        <v>1.063916401704941</v>
      </c>
      <c r="D15" s="105">
        <f>'Fig 7.38'!D15</f>
        <v>1.1054040754909074</v>
      </c>
      <c r="E15" s="105">
        <f>'Fig 7.38'!E15</f>
        <v>0.96286762819234251</v>
      </c>
      <c r="F15" s="105">
        <f>'Fig 7.38'!F15</f>
        <v>1.0308826193666099</v>
      </c>
    </row>
    <row r="34" spans="2:2" x14ac:dyDescent="0.25">
      <c r="B34" s="146"/>
    </row>
  </sheetData>
  <mergeCells count="2">
    <mergeCell ref="A3:F3"/>
    <mergeCell ref="A4:F4"/>
  </mergeCells>
  <pageMargins left="0.511811024" right="0.511811024" top="0.78740157499999996" bottom="0.78740157499999996" header="0.31496062000000002" footer="0.31496062000000002"/>
  <drawing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Plan191"/>
  <dimension ref="A1:T16"/>
  <sheetViews>
    <sheetView showGridLines="0" workbookViewId="0">
      <selection activeCell="H13" sqref="H13"/>
    </sheetView>
  </sheetViews>
  <sheetFormatPr defaultRowHeight="15" x14ac:dyDescent="0.25"/>
  <cols>
    <col min="2" max="2" width="15.28515625" bestFit="1" customWidth="1"/>
    <col min="3" max="4" width="14.28515625" bestFit="1" customWidth="1"/>
    <col min="5" max="5" width="13.28515625" bestFit="1" customWidth="1"/>
    <col min="6" max="6" width="13.28515625" style="253" customWidth="1"/>
    <col min="7" max="7" width="8.85546875" bestFit="1" customWidth="1"/>
    <col min="8" max="10" width="14.28515625" bestFit="1" customWidth="1"/>
    <col min="11" max="11" width="14.28515625" style="140" bestFit="1" customWidth="1"/>
    <col min="12" max="12" width="14.28515625" style="140" customWidth="1"/>
    <col min="13" max="13" width="12.5703125" style="140" bestFit="1" customWidth="1"/>
    <col min="14" max="14" width="14.28515625" style="140" bestFit="1" customWidth="1"/>
    <col min="15" max="15" width="15.28515625" style="140" bestFit="1" customWidth="1"/>
    <col min="16" max="20" width="9.140625" style="140"/>
  </cols>
  <sheetData>
    <row r="1" spans="1:17" x14ac:dyDescent="0.25">
      <c r="C1" s="78"/>
      <c r="D1" s="78"/>
      <c r="E1" s="78"/>
      <c r="F1" s="78"/>
      <c r="G1" s="78" t="s">
        <v>1414</v>
      </c>
      <c r="H1" s="78" t="s">
        <v>1415</v>
      </c>
    </row>
    <row r="3" spans="1:17" x14ac:dyDescent="0.25">
      <c r="A3" s="350" t="str">
        <f>"Tabela Referente à "&amp;G1</f>
        <v>Tabela Referente à Figura 7.40</v>
      </c>
      <c r="B3" s="350"/>
      <c r="C3" s="350"/>
      <c r="D3" s="350"/>
      <c r="E3" s="350"/>
      <c r="F3" s="350"/>
      <c r="G3" s="350"/>
    </row>
    <row r="4" spans="1:17" ht="15" customHeight="1" x14ac:dyDescent="0.25">
      <c r="A4" s="363" t="str">
        <f>H1</f>
        <v>RATK (R$/ATK) da indústria, 2009 a 2018</v>
      </c>
      <c r="B4" s="363"/>
      <c r="C4" s="363"/>
      <c r="D4" s="363"/>
      <c r="E4" s="363"/>
      <c r="F4" s="363"/>
      <c r="G4" s="363"/>
    </row>
    <row r="5" spans="1:17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102</v>
      </c>
      <c r="G5" s="91" t="s">
        <v>10</v>
      </c>
    </row>
    <row r="6" spans="1:17" x14ac:dyDescent="0.25">
      <c r="A6" s="134" t="s">
        <v>44</v>
      </c>
      <c r="B6" s="103">
        <v>1.07958606942183</v>
      </c>
      <c r="C6" s="103">
        <v>1.9794484932276861</v>
      </c>
      <c r="D6" s="103">
        <v>1.2987137499661687</v>
      </c>
      <c r="E6" s="103">
        <v>1.5247607783628405</v>
      </c>
      <c r="F6" s="103">
        <v>0.43389948021857411</v>
      </c>
      <c r="G6" s="103">
        <v>1.2790260546505927</v>
      </c>
      <c r="H6" s="271" t="s">
        <v>8</v>
      </c>
      <c r="I6" s="271"/>
      <c r="J6" s="271"/>
      <c r="K6" s="345"/>
      <c r="L6" s="345"/>
      <c r="M6" s="345"/>
      <c r="N6" s="345"/>
      <c r="O6" s="345"/>
      <c r="Q6" s="346"/>
    </row>
    <row r="7" spans="1:17" x14ac:dyDescent="0.25">
      <c r="A7" s="176" t="s">
        <v>45</v>
      </c>
      <c r="B7" s="102">
        <v>1.167647676749455</v>
      </c>
      <c r="C7" s="102">
        <v>1.6037381431446476</v>
      </c>
      <c r="D7" s="102">
        <v>1.3131368811004822</v>
      </c>
      <c r="E7" s="102">
        <v>2.1919589776447777</v>
      </c>
      <c r="F7" s="102">
        <v>0.98610724021481433</v>
      </c>
      <c r="G7" s="102">
        <v>1.3361281125943403</v>
      </c>
      <c r="H7" s="271" t="s">
        <v>8</v>
      </c>
      <c r="I7" s="271"/>
      <c r="J7" s="271"/>
      <c r="K7" s="345"/>
      <c r="L7" s="345"/>
      <c r="M7" s="345"/>
      <c r="N7" s="345"/>
      <c r="O7" s="345"/>
      <c r="Q7" s="346"/>
    </row>
    <row r="8" spans="1:17" x14ac:dyDescent="0.25">
      <c r="A8" s="134" t="s">
        <v>3</v>
      </c>
      <c r="B8" s="103">
        <v>1.1993149632826976</v>
      </c>
      <c r="C8" s="103">
        <v>1.5954636579828871</v>
      </c>
      <c r="D8" s="103">
        <v>1.4562304743598531</v>
      </c>
      <c r="E8" s="103">
        <v>2.028396651537272</v>
      </c>
      <c r="F8" s="103">
        <v>0.88381502220814268</v>
      </c>
      <c r="G8" s="103">
        <v>1.3649452980075283</v>
      </c>
      <c r="H8" s="271" t="s">
        <v>8</v>
      </c>
      <c r="I8" s="271"/>
      <c r="J8" s="271"/>
      <c r="K8" s="345"/>
      <c r="L8" s="345"/>
      <c r="M8" s="345"/>
      <c r="N8" s="345"/>
      <c r="O8" s="345"/>
      <c r="Q8" s="346"/>
    </row>
    <row r="9" spans="1:17" x14ac:dyDescent="0.25">
      <c r="A9" s="176" t="s">
        <v>4</v>
      </c>
      <c r="B9" s="102">
        <v>1.2121741347241108</v>
      </c>
      <c r="C9" s="102">
        <v>1.6381383935222686</v>
      </c>
      <c r="D9" s="102">
        <v>1.8017359420396155</v>
      </c>
      <c r="E9" s="102">
        <v>1.9450165816284308</v>
      </c>
      <c r="F9" s="102">
        <v>1.1189076044041826</v>
      </c>
      <c r="G9" s="102">
        <v>1.4164989268665567</v>
      </c>
      <c r="H9" s="113" t="s">
        <v>8</v>
      </c>
      <c r="I9" s="113"/>
      <c r="J9" s="113"/>
      <c r="K9" s="347"/>
      <c r="L9" s="345"/>
      <c r="M9" s="347"/>
      <c r="N9" s="347"/>
      <c r="Q9" s="346"/>
    </row>
    <row r="10" spans="1:17" x14ac:dyDescent="0.25">
      <c r="A10" s="134" t="s">
        <v>395</v>
      </c>
      <c r="B10" s="103">
        <v>1.3135979038198096</v>
      </c>
      <c r="C10" s="103">
        <v>1.8494672491668069</v>
      </c>
      <c r="D10" s="103">
        <v>2.0629503149826558</v>
      </c>
      <c r="E10" s="103">
        <v>1.9938963876426123</v>
      </c>
      <c r="F10" s="103">
        <v>1.5763897552438235</v>
      </c>
      <c r="G10" s="103">
        <v>1.6206641088487952</v>
      </c>
      <c r="H10" s="113" t="s">
        <v>8</v>
      </c>
      <c r="I10" s="113"/>
      <c r="J10" s="113"/>
      <c r="K10" s="347"/>
      <c r="L10" s="345"/>
      <c r="M10" s="347"/>
      <c r="Q10" s="346"/>
    </row>
    <row r="11" spans="1:17" x14ac:dyDescent="0.25">
      <c r="A11" s="176" t="s">
        <v>413</v>
      </c>
      <c r="B11" s="102">
        <v>1.4249075506902193</v>
      </c>
      <c r="C11" s="102">
        <v>2.0003476026160647</v>
      </c>
      <c r="D11" s="102">
        <v>2.2748503169328167</v>
      </c>
      <c r="E11" s="102">
        <v>1.9284605665334476</v>
      </c>
      <c r="F11" s="102">
        <v>1.6215697531535076</v>
      </c>
      <c r="G11" s="102">
        <v>1.744654278600495</v>
      </c>
      <c r="H11" s="113" t="s">
        <v>8</v>
      </c>
      <c r="I11" s="113"/>
      <c r="J11" s="113"/>
      <c r="K11" s="347"/>
      <c r="L11" s="345"/>
      <c r="Q11" s="346"/>
    </row>
    <row r="12" spans="1:17" x14ac:dyDescent="0.25">
      <c r="A12" s="134" t="s">
        <v>489</v>
      </c>
      <c r="B12" s="103">
        <v>1.4570858698448024</v>
      </c>
      <c r="C12" s="103">
        <v>1.7914243208321528</v>
      </c>
      <c r="D12" s="103">
        <v>2.3595288997084927</v>
      </c>
      <c r="E12" s="103">
        <v>1.9386172691920245</v>
      </c>
      <c r="F12" s="103">
        <v>1.7643277622980402</v>
      </c>
      <c r="G12" s="103">
        <v>1.7213342460719814</v>
      </c>
      <c r="H12" s="113" t="s">
        <v>8</v>
      </c>
      <c r="I12" s="113"/>
      <c r="J12" s="113"/>
      <c r="K12" s="347"/>
      <c r="L12" s="345"/>
      <c r="Q12" s="346"/>
    </row>
    <row r="13" spans="1:17" x14ac:dyDescent="0.25">
      <c r="A13" s="176" t="s">
        <v>524</v>
      </c>
      <c r="B13" s="102">
        <v>1.5791193101674468</v>
      </c>
      <c r="C13" s="102">
        <v>1.93496961341429</v>
      </c>
      <c r="D13" s="102">
        <v>2.3596931659590981</v>
      </c>
      <c r="E13" s="102">
        <v>1.9649437722556762</v>
      </c>
      <c r="F13" s="102">
        <v>1.6354580941361609</v>
      </c>
      <c r="G13" s="102">
        <v>1.8341108023737227</v>
      </c>
      <c r="H13" s="113" t="s">
        <v>8</v>
      </c>
      <c r="I13" s="113"/>
      <c r="J13" s="113"/>
      <c r="K13" s="347"/>
      <c r="L13" s="345"/>
      <c r="Q13" s="348"/>
    </row>
    <row r="14" spans="1:17" x14ac:dyDescent="0.25">
      <c r="A14" s="134" t="s">
        <v>718</v>
      </c>
      <c r="B14" s="103">
        <v>1.6315023851717727</v>
      </c>
      <c r="C14" s="103">
        <v>1.917099015825761</v>
      </c>
      <c r="D14" s="103">
        <v>2.8086355537809249</v>
      </c>
      <c r="E14" s="103">
        <v>1.870256270466411</v>
      </c>
      <c r="F14" s="103">
        <v>1.5507695518991114</v>
      </c>
      <c r="G14" s="103">
        <v>1.8989949825580048</v>
      </c>
      <c r="H14" s="113" t="s">
        <v>8</v>
      </c>
      <c r="I14" s="113"/>
      <c r="J14" s="113"/>
      <c r="K14" s="347"/>
      <c r="L14" s="345"/>
      <c r="Q14" s="348"/>
    </row>
    <row r="15" spans="1:17" x14ac:dyDescent="0.25">
      <c r="A15" s="176" t="s">
        <v>877</v>
      </c>
      <c r="B15" s="102">
        <v>1.6705225975162619</v>
      </c>
      <c r="C15" s="102">
        <v>2.1197219514014751</v>
      </c>
      <c r="D15" s="102">
        <v>2.8153296215378156</v>
      </c>
      <c r="E15" s="102">
        <v>1.8520299316286226</v>
      </c>
      <c r="F15" s="102">
        <v>1.8610261771547305</v>
      </c>
      <c r="G15" s="102">
        <v>1.9848799708970599</v>
      </c>
    </row>
    <row r="16" spans="1:17" x14ac:dyDescent="0.25">
      <c r="B16" s="78"/>
      <c r="C16" s="78"/>
      <c r="D16" s="78"/>
      <c r="E16" s="78"/>
      <c r="F16" s="78"/>
      <c r="G16" s="114">
        <f>G14/'Fig 7.42'!$G$14-1</f>
        <v>9.1308657704132878E-2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140"/>
  <dimension ref="A1:P35"/>
  <sheetViews>
    <sheetView topLeftCell="E1" workbookViewId="0">
      <selection activeCell="O25" sqref="O25"/>
    </sheetView>
  </sheetViews>
  <sheetFormatPr defaultRowHeight="15" x14ac:dyDescent="0.25"/>
  <cols>
    <col min="1" max="1" width="14.5703125" bestFit="1" customWidth="1"/>
    <col min="2" max="2" width="49.5703125" bestFit="1" customWidth="1"/>
    <col min="3" max="3" width="14.28515625" bestFit="1" customWidth="1"/>
    <col min="4" max="4" width="9" customWidth="1"/>
    <col min="5" max="5" width="14.5703125" bestFit="1" customWidth="1"/>
    <col min="6" max="14" width="18" bestFit="1" customWidth="1"/>
    <col min="15" max="15" width="12" bestFit="1" customWidth="1"/>
  </cols>
  <sheetData>
    <row r="1" spans="1:16" x14ac:dyDescent="0.25">
      <c r="E1">
        <f>10^6</f>
        <v>1000000</v>
      </c>
    </row>
    <row r="2" spans="1:16" x14ac:dyDescent="0.25">
      <c r="A2" t="s">
        <v>706</v>
      </c>
      <c r="B2" t="e">
        <f>#REF!</f>
        <v>#REF!</v>
      </c>
      <c r="C2" t="e">
        <f>B2-2</f>
        <v>#REF!</v>
      </c>
      <c r="E2" t="s">
        <v>710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</row>
    <row r="3" spans="1:16" x14ac:dyDescent="0.25">
      <c r="A3" s="27" t="s">
        <v>69</v>
      </c>
      <c r="B3" s="8">
        <v>15875907</v>
      </c>
      <c r="C3" s="8">
        <v>15442232</v>
      </c>
      <c r="E3" s="27" t="s">
        <v>69</v>
      </c>
      <c r="F3" s="8">
        <v>482444549941.20099</v>
      </c>
      <c r="G3" s="8">
        <v>529597804053.75616</v>
      </c>
      <c r="H3" s="8">
        <v>548973526311.1402</v>
      </c>
      <c r="I3" s="8">
        <v>580644576995.68933</v>
      </c>
      <c r="J3" s="8">
        <v>604547239107.18567</v>
      </c>
      <c r="K3" s="8">
        <v>622183281827.91077</v>
      </c>
      <c r="L3" s="8">
        <v>632239694223.40747</v>
      </c>
      <c r="M3" s="8">
        <v>655059925429.83948</v>
      </c>
      <c r="N3" s="8">
        <v>650634242318.06274</v>
      </c>
    </row>
    <row r="4" spans="1:16" x14ac:dyDescent="0.25">
      <c r="A4" s="28" t="s">
        <v>67</v>
      </c>
      <c r="B4" s="8">
        <v>57254159</v>
      </c>
      <c r="C4" s="8">
        <v>56560081</v>
      </c>
      <c r="E4" s="28" t="s">
        <v>67</v>
      </c>
      <c r="F4" s="8">
        <v>734027039562.9989</v>
      </c>
      <c r="G4" s="8">
        <v>773249041340.86389</v>
      </c>
      <c r="H4" s="8">
        <v>801821702984.58289</v>
      </c>
      <c r="I4" s="8">
        <v>855495014446.29529</v>
      </c>
      <c r="J4" s="8">
        <v>881414740344.74841</v>
      </c>
      <c r="K4" s="8">
        <v>914044421947.83838</v>
      </c>
      <c r="L4" s="8">
        <v>943268091306.23413</v>
      </c>
      <c r="M4" s="8">
        <v>971907533883.33093</v>
      </c>
      <c r="N4" s="8">
        <v>952288738577.03479</v>
      </c>
    </row>
    <row r="5" spans="1:16" x14ac:dyDescent="0.25">
      <c r="A5" s="27" t="s">
        <v>70</v>
      </c>
      <c r="B5" s="8">
        <v>17936201</v>
      </c>
      <c r="C5" s="8">
        <v>17472636</v>
      </c>
      <c r="E5" s="27" t="s">
        <v>70</v>
      </c>
      <c r="F5" s="8">
        <v>280924408723.11627</v>
      </c>
      <c r="G5" s="8">
        <v>298324483733.03088</v>
      </c>
      <c r="H5" s="8">
        <v>294908878183.42017</v>
      </c>
      <c r="I5" s="8">
        <v>338902027590.14233</v>
      </c>
      <c r="J5" s="8">
        <v>364142812275.41968</v>
      </c>
      <c r="K5" s="8">
        <v>362642306814.5979</v>
      </c>
      <c r="L5" s="8">
        <v>380734883459.86536</v>
      </c>
      <c r="M5" s="8">
        <v>371907450165.30212</v>
      </c>
      <c r="N5" s="8">
        <v>359997904812.70648</v>
      </c>
    </row>
    <row r="6" spans="1:16" x14ac:dyDescent="0.25">
      <c r="A6" s="28" t="s">
        <v>65</v>
      </c>
      <c r="B6" s="8">
        <v>86949714</v>
      </c>
      <c r="C6" s="8">
        <v>85745520</v>
      </c>
      <c r="E6" s="28" t="s">
        <v>65</v>
      </c>
      <c r="F6" s="8">
        <v>3231870594935.2007</v>
      </c>
      <c r="G6" s="8">
        <v>3373062033229.73</v>
      </c>
      <c r="H6" s="8">
        <v>3327553030916.5889</v>
      </c>
      <c r="I6" s="8">
        <v>3569115727941.895</v>
      </c>
      <c r="J6" s="8">
        <v>3709810028984.1382</v>
      </c>
      <c r="K6" s="8">
        <v>3769242724410.9644</v>
      </c>
      <c r="L6" s="8">
        <v>3839012483446.1362</v>
      </c>
      <c r="M6" s="8">
        <v>3832454620210.4712</v>
      </c>
      <c r="N6" s="8">
        <v>3634735333863.46</v>
      </c>
    </row>
    <row r="7" spans="1:16" x14ac:dyDescent="0.25">
      <c r="A7" s="27" t="s">
        <v>68</v>
      </c>
      <c r="B7" s="8">
        <v>29644948</v>
      </c>
      <c r="C7" s="8">
        <v>29230180</v>
      </c>
      <c r="E7" s="27" t="s">
        <v>68</v>
      </c>
      <c r="F7" s="8">
        <v>905015951750.03992</v>
      </c>
      <c r="G7" s="8">
        <v>947070543633.45288</v>
      </c>
      <c r="H7" s="8">
        <v>940597055100.68323</v>
      </c>
      <c r="I7" s="8">
        <v>1014905136492.6892</v>
      </c>
      <c r="J7" s="8">
        <v>1051883710116.4274</v>
      </c>
      <c r="K7" s="8">
        <v>1070710081664.2377</v>
      </c>
      <c r="L7" s="8">
        <v>1146057340215.5535</v>
      </c>
      <c r="M7" s="8">
        <v>1144964105921.9658</v>
      </c>
      <c r="N7" s="8">
        <v>1131274550170.6699</v>
      </c>
    </row>
    <row r="8" spans="1:16" x14ac:dyDescent="0.25">
      <c r="E8" s="28" t="s">
        <v>713</v>
      </c>
      <c r="F8" s="43">
        <v>2720262952977.0059</v>
      </c>
      <c r="G8" s="43">
        <v>3109803099008.0195</v>
      </c>
      <c r="H8" s="43">
        <v>3333039340989</v>
      </c>
      <c r="I8" s="43">
        <v>3885847002010.0039</v>
      </c>
      <c r="J8" s="43">
        <v>4376382002011.0005</v>
      </c>
      <c r="K8" s="43">
        <v>4814760002011.999</v>
      </c>
      <c r="L8" s="43">
        <v>5331618958659.3057</v>
      </c>
      <c r="M8" s="43">
        <v>5778952782014.0059</v>
      </c>
      <c r="N8" s="43">
        <v>5995787002014.999</v>
      </c>
    </row>
    <row r="9" spans="1:16" x14ac:dyDescent="0.25">
      <c r="E9" s="27" t="s">
        <v>714</v>
      </c>
      <c r="F9" s="43">
        <f>VLOOKUP(F$2,$A$13:$B$23,2,0)</f>
        <v>5634282549069.5098</v>
      </c>
      <c r="G9" s="43">
        <f t="shared" ref="G9:N9" si="0">VLOOKUP(G$2,$A$13:$B$23,2,0)</f>
        <v>5921303909814.2197</v>
      </c>
      <c r="H9" s="43">
        <f t="shared" si="0"/>
        <v>5913854197061.0098</v>
      </c>
      <c r="I9" s="43">
        <f t="shared" si="0"/>
        <v>6359062486756.0098</v>
      </c>
      <c r="J9" s="43">
        <f t="shared" si="0"/>
        <v>6611798533866.1201</v>
      </c>
      <c r="K9" s="43">
        <f t="shared" si="0"/>
        <v>6738822819481.5801</v>
      </c>
      <c r="L9" s="43">
        <f t="shared" si="0"/>
        <v>6941312495271.9502</v>
      </c>
      <c r="M9" s="43">
        <f t="shared" si="0"/>
        <v>6976293638042.1904</v>
      </c>
      <c r="N9" s="43">
        <f t="shared" si="0"/>
        <v>6728930772003.3203</v>
      </c>
    </row>
    <row r="10" spans="1:16" s="226" customFormat="1" x14ac:dyDescent="0.25"/>
    <row r="11" spans="1:16" x14ac:dyDescent="0.25">
      <c r="E11" s="226" t="s">
        <v>711</v>
      </c>
    </row>
    <row r="12" spans="1:16" x14ac:dyDescent="0.25">
      <c r="A12" s="226" t="s">
        <v>707</v>
      </c>
      <c r="B12" s="226" t="s">
        <v>708</v>
      </c>
      <c r="E12" s="226"/>
      <c r="F12" s="226">
        <v>2007</v>
      </c>
      <c r="G12" s="226">
        <v>2008</v>
      </c>
      <c r="H12" s="226">
        <v>2009</v>
      </c>
      <c r="I12" s="226">
        <v>2010</v>
      </c>
      <c r="J12" s="226">
        <v>2011</v>
      </c>
      <c r="K12" s="226">
        <v>2012</v>
      </c>
      <c r="L12" s="226">
        <v>2013</v>
      </c>
      <c r="M12" s="226">
        <v>2014</v>
      </c>
      <c r="N12" s="226">
        <v>2015</v>
      </c>
    </row>
    <row r="13" spans="1:16" x14ac:dyDescent="0.25">
      <c r="A13" s="226">
        <v>2007</v>
      </c>
      <c r="B13" s="229">
        <v>5634282549069.5098</v>
      </c>
      <c r="E13" s="27" t="str">
        <f>E3</f>
        <v>Centro-Oeste</v>
      </c>
      <c r="F13" s="8">
        <v>81345</v>
      </c>
      <c r="G13" s="8">
        <v>90061</v>
      </c>
      <c r="H13" s="8">
        <v>103054</v>
      </c>
      <c r="I13" s="8">
        <v>116415</v>
      </c>
      <c r="J13" s="8">
        <v>129440</v>
      </c>
      <c r="K13" s="8">
        <v>129201</v>
      </c>
      <c r="L13" s="8">
        <v>119753</v>
      </c>
      <c r="M13" s="8">
        <v>124570</v>
      </c>
      <c r="N13" s="8">
        <v>126717</v>
      </c>
      <c r="O13">
        <f>N13/N3*10^9</f>
        <v>194.75919304298523</v>
      </c>
      <c r="P13">
        <f>N13/F30</f>
        <v>3.0075166431025639</v>
      </c>
    </row>
    <row r="14" spans="1:16" x14ac:dyDescent="0.25">
      <c r="A14" s="226">
        <v>2008</v>
      </c>
      <c r="B14" s="229">
        <v>5921303909814.2197</v>
      </c>
      <c r="E14" s="28" t="str">
        <f>E4</f>
        <v>Nordeste</v>
      </c>
      <c r="F14" s="8">
        <v>112489</v>
      </c>
      <c r="G14" s="8">
        <v>112402</v>
      </c>
      <c r="H14" s="8">
        <v>124001</v>
      </c>
      <c r="I14" s="8">
        <v>148576</v>
      </c>
      <c r="J14" s="8">
        <v>171986</v>
      </c>
      <c r="K14" s="8">
        <v>173712</v>
      </c>
      <c r="L14" s="8">
        <v>166511</v>
      </c>
      <c r="M14" s="8">
        <v>162922</v>
      </c>
      <c r="N14" s="8">
        <v>159601</v>
      </c>
      <c r="O14" s="273">
        <f t="shared" ref="O14:O17" si="1">N14/N4*10^9</f>
        <v>167.59727752161081</v>
      </c>
      <c r="P14" s="273">
        <f t="shared" ref="P14:P17" si="2">N14/F31</f>
        <v>9.4793155920017877</v>
      </c>
    </row>
    <row r="15" spans="1:16" x14ac:dyDescent="0.25">
      <c r="A15" s="226">
        <v>2009</v>
      </c>
      <c r="B15" s="229">
        <v>5913854197061.0098</v>
      </c>
      <c r="E15" s="27" t="str">
        <f>E5</f>
        <v>Norte</v>
      </c>
      <c r="F15" s="8">
        <v>63194</v>
      </c>
      <c r="G15" s="8">
        <v>64288</v>
      </c>
      <c r="H15" s="8">
        <v>62708</v>
      </c>
      <c r="I15" s="8">
        <v>70749</v>
      </c>
      <c r="J15" s="8">
        <v>81082</v>
      </c>
      <c r="K15" s="8">
        <v>81763</v>
      </c>
      <c r="L15" s="8">
        <v>80587</v>
      </c>
      <c r="M15" s="8">
        <v>78129</v>
      </c>
      <c r="N15" s="8">
        <v>72474</v>
      </c>
      <c r="O15" s="273">
        <f t="shared" si="1"/>
        <v>201.31783832938007</v>
      </c>
      <c r="P15" s="273">
        <f t="shared" si="2"/>
        <v>3.517553309436106</v>
      </c>
    </row>
    <row r="16" spans="1:16" x14ac:dyDescent="0.25">
      <c r="A16" s="226">
        <v>2010</v>
      </c>
      <c r="B16" s="229">
        <v>6359062486756.0098</v>
      </c>
      <c r="E16" s="28" t="str">
        <f>E6</f>
        <v>Sudeste</v>
      </c>
      <c r="F16" s="8">
        <v>285857</v>
      </c>
      <c r="G16" s="8">
        <v>300840</v>
      </c>
      <c r="H16" s="8">
        <v>338939</v>
      </c>
      <c r="I16" s="8">
        <v>391466</v>
      </c>
      <c r="J16" s="8">
        <v>443017</v>
      </c>
      <c r="K16" s="8">
        <v>470686</v>
      </c>
      <c r="L16" s="8">
        <v>453879</v>
      </c>
      <c r="M16" s="8">
        <v>454756</v>
      </c>
      <c r="N16" s="8">
        <v>455208</v>
      </c>
      <c r="O16" s="273">
        <f t="shared" si="1"/>
        <v>125.2382795960406</v>
      </c>
      <c r="P16" s="273">
        <f t="shared" si="2"/>
        <v>10.738621407867893</v>
      </c>
    </row>
    <row r="17" spans="1:16" x14ac:dyDescent="0.25">
      <c r="A17" s="226">
        <v>2011</v>
      </c>
      <c r="B17" s="229">
        <v>6611798533866.1201</v>
      </c>
      <c r="E17" s="27" t="str">
        <f>E7</f>
        <v>Sul</v>
      </c>
      <c r="F17" s="8">
        <v>84665</v>
      </c>
      <c r="G17" s="8">
        <v>90386</v>
      </c>
      <c r="H17" s="8">
        <v>104922</v>
      </c>
      <c r="I17" s="8">
        <v>117512</v>
      </c>
      <c r="J17" s="8">
        <v>132558</v>
      </c>
      <c r="K17" s="8">
        <v>135477</v>
      </c>
      <c r="L17" s="8">
        <v>125955</v>
      </c>
      <c r="M17" s="8">
        <v>121596</v>
      </c>
      <c r="N17" s="8">
        <v>121704</v>
      </c>
      <c r="O17" s="273">
        <f t="shared" si="1"/>
        <v>107.58131169983371</v>
      </c>
      <c r="P17" s="273">
        <f t="shared" si="2"/>
        <v>3.1446211056222451</v>
      </c>
    </row>
    <row r="18" spans="1:16" x14ac:dyDescent="0.25">
      <c r="A18" s="226">
        <v>2012</v>
      </c>
      <c r="B18" s="229">
        <v>6738822819481.5801</v>
      </c>
      <c r="E18" s="28" t="s">
        <v>709</v>
      </c>
      <c r="F18" s="43"/>
      <c r="G18" s="43"/>
      <c r="H18" s="43"/>
      <c r="I18" s="43"/>
      <c r="J18" s="43"/>
      <c r="K18" s="43"/>
      <c r="L18" s="43"/>
      <c r="M18" s="43"/>
      <c r="N18" s="43"/>
    </row>
    <row r="19" spans="1:16" x14ac:dyDescent="0.25">
      <c r="A19" s="226">
        <v>2013</v>
      </c>
      <c r="B19" s="229">
        <v>6941312495271.9502</v>
      </c>
    </row>
    <row r="20" spans="1:16" x14ac:dyDescent="0.25">
      <c r="A20" s="226">
        <v>2014</v>
      </c>
      <c r="B20" s="229">
        <v>6976293638042.1904</v>
      </c>
      <c r="E20" s="226" t="s">
        <v>715</v>
      </c>
      <c r="F20" s="226"/>
      <c r="G20" s="226"/>
      <c r="H20" s="226"/>
      <c r="I20" s="226"/>
      <c r="J20" s="226"/>
      <c r="K20" s="226"/>
      <c r="L20" s="226"/>
      <c r="M20" s="226"/>
      <c r="N20" s="226"/>
    </row>
    <row r="21" spans="1:16" x14ac:dyDescent="0.25">
      <c r="A21" s="226">
        <v>2015</v>
      </c>
      <c r="B21" s="229">
        <v>6728930772003.3203</v>
      </c>
      <c r="E21" s="226"/>
      <c r="F21" s="226">
        <v>2007</v>
      </c>
      <c r="G21" s="226">
        <v>2008</v>
      </c>
      <c r="H21" s="226">
        <v>2009</v>
      </c>
      <c r="I21" s="226">
        <v>2010</v>
      </c>
      <c r="J21" s="226">
        <v>2011</v>
      </c>
      <c r="K21" s="226">
        <v>2012</v>
      </c>
      <c r="L21" s="226">
        <v>2013</v>
      </c>
      <c r="M21" s="226">
        <v>2014</v>
      </c>
      <c r="N21" s="226">
        <v>2015</v>
      </c>
    </row>
    <row r="22" spans="1:16" x14ac:dyDescent="0.25">
      <c r="A22" s="226">
        <v>2016</v>
      </c>
      <c r="B22" s="229">
        <v>6495927028337.0996</v>
      </c>
      <c r="E22" s="27" t="str">
        <f>E3</f>
        <v>Centro-Oeste</v>
      </c>
      <c r="F22" s="8">
        <v>6375967</v>
      </c>
      <c r="G22" s="8">
        <v>7211701</v>
      </c>
      <c r="H22" s="8">
        <v>8312146</v>
      </c>
      <c r="I22" s="8">
        <v>9992230</v>
      </c>
      <c r="J22" s="8">
        <v>11105225</v>
      </c>
      <c r="K22" s="8">
        <v>11907004</v>
      </c>
      <c r="L22" s="8">
        <v>12103549</v>
      </c>
      <c r="M22" s="8">
        <v>13067456</v>
      </c>
      <c r="N22" s="8">
        <v>13662059</v>
      </c>
      <c r="O22" s="273">
        <f>N22/N3*10^6</f>
        <v>20.998063291789212</v>
      </c>
    </row>
    <row r="23" spans="1:16" x14ac:dyDescent="0.25">
      <c r="A23" s="226">
        <v>2017</v>
      </c>
      <c r="B23" s="229">
        <v>6559940259751.4199</v>
      </c>
      <c r="E23" s="28" t="str">
        <f>E4</f>
        <v>Nordeste</v>
      </c>
      <c r="F23" s="8">
        <v>9322323</v>
      </c>
      <c r="G23" s="8">
        <v>9423854</v>
      </c>
      <c r="H23" s="8">
        <v>11229129</v>
      </c>
      <c r="I23" s="8">
        <v>13987699</v>
      </c>
      <c r="J23" s="8">
        <v>15739878</v>
      </c>
      <c r="K23" s="8">
        <v>16800141</v>
      </c>
      <c r="L23" s="8">
        <v>16644533</v>
      </c>
      <c r="M23" s="8">
        <v>17679530</v>
      </c>
      <c r="N23" s="8">
        <v>17566511</v>
      </c>
      <c r="O23" s="273">
        <f t="shared" ref="O23:O26" si="3">N23/N4*10^6</f>
        <v>18.446622634904728</v>
      </c>
    </row>
    <row r="24" spans="1:16" x14ac:dyDescent="0.25">
      <c r="E24" s="27" t="str">
        <f>E5</f>
        <v>Norte</v>
      </c>
      <c r="F24" s="8">
        <v>3316251</v>
      </c>
      <c r="G24" s="8">
        <v>3516511</v>
      </c>
      <c r="H24" s="8">
        <v>3757637</v>
      </c>
      <c r="I24" s="8">
        <v>4358605</v>
      </c>
      <c r="J24" s="8">
        <v>4990000</v>
      </c>
      <c r="K24" s="8">
        <v>5370759</v>
      </c>
      <c r="L24" s="8">
        <v>5563032</v>
      </c>
      <c r="M24" s="8">
        <v>5958818</v>
      </c>
      <c r="N24" s="8">
        <v>5849731</v>
      </c>
      <c r="O24" s="273">
        <f t="shared" si="3"/>
        <v>16.249347348405813</v>
      </c>
    </row>
    <row r="25" spans="1:16" x14ac:dyDescent="0.25">
      <c r="E25" s="28" t="str">
        <f>E6</f>
        <v>Sudeste</v>
      </c>
      <c r="F25" s="8">
        <v>22328843</v>
      </c>
      <c r="G25" s="8">
        <v>23498693</v>
      </c>
      <c r="H25" s="8">
        <v>26433292</v>
      </c>
      <c r="I25" s="8">
        <v>32828281</v>
      </c>
      <c r="J25" s="8">
        <v>39350693</v>
      </c>
      <c r="K25" s="8">
        <v>43153601</v>
      </c>
      <c r="L25" s="8">
        <v>44369204</v>
      </c>
      <c r="M25" s="8">
        <v>46954411</v>
      </c>
      <c r="N25" s="8">
        <v>46663400</v>
      </c>
      <c r="O25" s="273">
        <f t="shared" si="3"/>
        <v>12.838183722829742</v>
      </c>
    </row>
    <row r="26" spans="1:16" x14ac:dyDescent="0.25">
      <c r="E26" s="27" t="str">
        <f>E7</f>
        <v>Sul</v>
      </c>
      <c r="F26" s="8">
        <v>6022650</v>
      </c>
      <c r="G26" s="8">
        <v>6470509</v>
      </c>
      <c r="H26" s="8">
        <v>7391468</v>
      </c>
      <c r="I26" s="8">
        <v>8981214</v>
      </c>
      <c r="J26" s="8">
        <v>10886999</v>
      </c>
      <c r="K26" s="8">
        <v>11457391</v>
      </c>
      <c r="L26" s="8">
        <v>11562119</v>
      </c>
      <c r="M26" s="8">
        <v>12252473</v>
      </c>
      <c r="N26" s="8">
        <v>12439092</v>
      </c>
      <c r="O26" s="273">
        <f t="shared" si="3"/>
        <v>10.995643805584926</v>
      </c>
    </row>
    <row r="27" spans="1:16" x14ac:dyDescent="0.25">
      <c r="E27" s="28" t="s">
        <v>709</v>
      </c>
      <c r="F27" s="43"/>
      <c r="G27" s="43"/>
      <c r="H27" s="43"/>
      <c r="I27" s="43"/>
      <c r="J27" s="43"/>
      <c r="K27" s="43"/>
      <c r="L27" s="43"/>
      <c r="M27" s="43"/>
      <c r="N27" s="43"/>
    </row>
    <row r="29" spans="1:16" x14ac:dyDescent="0.25">
      <c r="E29" t="s">
        <v>712</v>
      </c>
      <c r="F29" s="226">
        <v>2015</v>
      </c>
      <c r="G29" s="226"/>
      <c r="H29" s="226"/>
      <c r="I29" s="226"/>
      <c r="J29" s="226"/>
      <c r="K29" s="226"/>
      <c r="L29" s="226"/>
      <c r="M29" s="226"/>
    </row>
    <row r="30" spans="1:16" x14ac:dyDescent="0.25">
      <c r="E30" s="27" t="str">
        <f>E3</f>
        <v>Centro-Oeste</v>
      </c>
      <c r="F30" s="8">
        <f>N3/C3</f>
        <v>42133.432674632961</v>
      </c>
    </row>
    <row r="31" spans="1:16" x14ac:dyDescent="0.25">
      <c r="E31" s="28" t="str">
        <f>E4</f>
        <v>Nordeste</v>
      </c>
      <c r="F31" s="8">
        <f>N4/C4</f>
        <v>16836.764052318715</v>
      </c>
      <c r="G31" s="226"/>
    </row>
    <row r="32" spans="1:16" x14ac:dyDescent="0.25">
      <c r="E32" s="27" t="str">
        <f>E5</f>
        <v>Norte</v>
      </c>
      <c r="F32" s="8">
        <f>N5/C5</f>
        <v>20603.525696563844</v>
      </c>
      <c r="G32" s="226"/>
    </row>
    <row r="33" spans="5:7" x14ac:dyDescent="0.25">
      <c r="E33" s="28" t="str">
        <f>E6</f>
        <v>Sudeste</v>
      </c>
      <c r="F33" s="8">
        <f>N6/C6</f>
        <v>42389.798719087128</v>
      </c>
      <c r="G33" s="226"/>
    </row>
    <row r="34" spans="5:7" x14ac:dyDescent="0.25">
      <c r="E34" s="27" t="str">
        <f>E7</f>
        <v>Sul</v>
      </c>
      <c r="F34" s="8">
        <f>N7/C7</f>
        <v>38702.2779254411</v>
      </c>
      <c r="G34" s="226"/>
    </row>
    <row r="35" spans="5:7" x14ac:dyDescent="0.25">
      <c r="E35" s="28" t="s">
        <v>709</v>
      </c>
      <c r="G35" s="2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Plan192"/>
  <dimension ref="A1:H15"/>
  <sheetViews>
    <sheetView showGridLines="0" workbookViewId="0">
      <selection activeCell="A4" sqref="A4:G4"/>
    </sheetView>
  </sheetViews>
  <sheetFormatPr defaultRowHeight="15" x14ac:dyDescent="0.25"/>
  <cols>
    <col min="6" max="6" width="9.140625" style="253"/>
  </cols>
  <sheetData>
    <row r="1" spans="1:8" x14ac:dyDescent="0.25">
      <c r="C1" s="78"/>
      <c r="D1" s="78"/>
      <c r="E1" s="78"/>
      <c r="F1" s="78"/>
      <c r="G1" s="78" t="s">
        <v>1416</v>
      </c>
      <c r="H1" s="78" t="s">
        <v>1417</v>
      </c>
    </row>
    <row r="3" spans="1:8" x14ac:dyDescent="0.25">
      <c r="A3" s="350" t="str">
        <f>"Tabela Referente à "&amp;G1</f>
        <v>Tabela Referente à Figura 7.41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RATK (R$/ATK)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7.40'!A5</f>
        <v>Ano</v>
      </c>
      <c r="B5" s="91" t="str">
        <f>'Fig 7.40'!B5</f>
        <v>Latam</v>
      </c>
      <c r="C5" s="91" t="str">
        <f>'Fig 7.40'!C5</f>
        <v>Gol</v>
      </c>
      <c r="D5" s="91" t="str">
        <f>'Fig 7.40'!D5</f>
        <v>Azul</v>
      </c>
      <c r="E5" s="91" t="str">
        <f>'Fig 7.40'!E5</f>
        <v>Avianca</v>
      </c>
      <c r="F5" s="91" t="str">
        <f>'Fig 7.40'!F5</f>
        <v>Absa</v>
      </c>
      <c r="G5" s="91" t="str">
        <f>'Fig 7.40'!G5</f>
        <v>Indústria</v>
      </c>
    </row>
    <row r="6" spans="1:8" x14ac:dyDescent="0.25">
      <c r="A6" s="134" t="str">
        <f>'Fig 7.40'!A6</f>
        <v>2009</v>
      </c>
      <c r="B6" s="103">
        <f>'Fig 7.40'!B6</f>
        <v>1.07958606942183</v>
      </c>
      <c r="C6" s="103">
        <f>'Fig 7.40'!C6</f>
        <v>1.9794484932276861</v>
      </c>
      <c r="D6" s="103">
        <f>'Fig 7.40'!D6</f>
        <v>1.2987137499661687</v>
      </c>
      <c r="E6" s="103">
        <f>'Fig 7.40'!E6</f>
        <v>1.5247607783628405</v>
      </c>
      <c r="F6" s="103">
        <f>'Fig 7.40'!F6</f>
        <v>0.43389948021857411</v>
      </c>
      <c r="G6" s="103">
        <f>'Fig 7.40'!G6</f>
        <v>1.2790260546505927</v>
      </c>
    </row>
    <row r="7" spans="1:8" x14ac:dyDescent="0.25">
      <c r="A7" s="176" t="str">
        <f>'Fig 7.40'!A7</f>
        <v>2010</v>
      </c>
      <c r="B7" s="102">
        <f>'Fig 7.40'!B7</f>
        <v>1.167647676749455</v>
      </c>
      <c r="C7" s="102">
        <f>'Fig 7.40'!C7</f>
        <v>1.6037381431446476</v>
      </c>
      <c r="D7" s="102">
        <f>'Fig 7.40'!D7</f>
        <v>1.3131368811004822</v>
      </c>
      <c r="E7" s="102">
        <f>'Fig 7.40'!E7</f>
        <v>2.1919589776447777</v>
      </c>
      <c r="F7" s="102">
        <f>'Fig 7.40'!F7</f>
        <v>0.98610724021481433</v>
      </c>
      <c r="G7" s="102">
        <f>'Fig 7.40'!G7</f>
        <v>1.3361281125943403</v>
      </c>
    </row>
    <row r="8" spans="1:8" x14ac:dyDescent="0.25">
      <c r="A8" s="134" t="str">
        <f>'Fig 7.40'!A8</f>
        <v>2011</v>
      </c>
      <c r="B8" s="103">
        <f>'Fig 7.40'!B8</f>
        <v>1.1993149632826976</v>
      </c>
      <c r="C8" s="103">
        <f>'Fig 7.40'!C8</f>
        <v>1.5954636579828871</v>
      </c>
      <c r="D8" s="103">
        <f>'Fig 7.40'!D8</f>
        <v>1.4562304743598531</v>
      </c>
      <c r="E8" s="103">
        <f>'Fig 7.40'!E8</f>
        <v>2.028396651537272</v>
      </c>
      <c r="F8" s="103">
        <f>'Fig 7.40'!F8</f>
        <v>0.88381502220814268</v>
      </c>
      <c r="G8" s="103">
        <f>'Fig 7.40'!G8</f>
        <v>1.3649452980075283</v>
      </c>
    </row>
    <row r="9" spans="1:8" x14ac:dyDescent="0.25">
      <c r="A9" s="176" t="str">
        <f>'Fig 7.40'!A9</f>
        <v>2012</v>
      </c>
      <c r="B9" s="102">
        <f>'Fig 7.40'!B9</f>
        <v>1.2121741347241108</v>
      </c>
      <c r="C9" s="102">
        <f>'Fig 7.40'!C9</f>
        <v>1.6381383935222686</v>
      </c>
      <c r="D9" s="102">
        <f>'Fig 7.40'!D9</f>
        <v>1.8017359420396155</v>
      </c>
      <c r="E9" s="102">
        <f>'Fig 7.40'!E9</f>
        <v>1.9450165816284308</v>
      </c>
      <c r="F9" s="102">
        <f>'Fig 7.40'!F9</f>
        <v>1.1189076044041826</v>
      </c>
      <c r="G9" s="102">
        <f>'Fig 7.40'!G9</f>
        <v>1.4164989268665567</v>
      </c>
    </row>
    <row r="10" spans="1:8" x14ac:dyDescent="0.25">
      <c r="A10" s="134" t="str">
        <f>'Fig 7.40'!A10</f>
        <v>2013</v>
      </c>
      <c r="B10" s="103">
        <f>'Fig 7.40'!B10</f>
        <v>1.3135979038198096</v>
      </c>
      <c r="C10" s="103">
        <f>'Fig 7.40'!C10</f>
        <v>1.8494672491668069</v>
      </c>
      <c r="D10" s="103">
        <f>'Fig 7.40'!D10</f>
        <v>2.0629503149826558</v>
      </c>
      <c r="E10" s="103">
        <f>'Fig 7.40'!E10</f>
        <v>1.9938963876426123</v>
      </c>
      <c r="F10" s="103">
        <f>'Fig 7.40'!F10</f>
        <v>1.5763897552438235</v>
      </c>
      <c r="G10" s="103">
        <f>'Fig 7.40'!G10</f>
        <v>1.6206641088487952</v>
      </c>
    </row>
    <row r="11" spans="1:8" x14ac:dyDescent="0.25">
      <c r="A11" s="176" t="str">
        <f>'Fig 7.40'!A11</f>
        <v>2014</v>
      </c>
      <c r="B11" s="102">
        <f>'Fig 7.40'!B11</f>
        <v>1.4249075506902193</v>
      </c>
      <c r="C11" s="102">
        <f>'Fig 7.40'!C11</f>
        <v>2.0003476026160647</v>
      </c>
      <c r="D11" s="102">
        <f>'Fig 7.40'!D11</f>
        <v>2.2748503169328167</v>
      </c>
      <c r="E11" s="102">
        <f>'Fig 7.40'!E11</f>
        <v>1.9284605665334476</v>
      </c>
      <c r="F11" s="102">
        <f>'Fig 7.40'!F11</f>
        <v>1.6215697531535076</v>
      </c>
      <c r="G11" s="102">
        <f>'Fig 7.40'!G11</f>
        <v>1.744654278600495</v>
      </c>
    </row>
    <row r="12" spans="1:8" x14ac:dyDescent="0.25">
      <c r="A12" s="134" t="str">
        <f>'Fig 7.40'!A12</f>
        <v>2015</v>
      </c>
      <c r="B12" s="103">
        <f>'Fig 7.40'!B12</f>
        <v>1.4570858698448024</v>
      </c>
      <c r="C12" s="103">
        <f>'Fig 7.40'!C12</f>
        <v>1.7914243208321528</v>
      </c>
      <c r="D12" s="103">
        <f>'Fig 7.40'!D12</f>
        <v>2.3595288997084927</v>
      </c>
      <c r="E12" s="103">
        <f>'Fig 7.40'!E12</f>
        <v>1.9386172691920245</v>
      </c>
      <c r="F12" s="103">
        <f>'Fig 7.40'!F12</f>
        <v>1.7643277622980402</v>
      </c>
      <c r="G12" s="103">
        <f>'Fig 7.40'!G12</f>
        <v>1.7213342460719814</v>
      </c>
      <c r="H12" s="114">
        <f>G12/'Fig 7.42'!G12-1</f>
        <v>7.3782983738310826E-3</v>
      </c>
    </row>
    <row r="13" spans="1:8" x14ac:dyDescent="0.25">
      <c r="A13" s="176" t="str">
        <f>'Fig 7.40'!A13</f>
        <v>2016</v>
      </c>
      <c r="B13" s="102">
        <f>'Fig 7.40'!B13</f>
        <v>1.5791193101674468</v>
      </c>
      <c r="C13" s="102">
        <f>'Fig 7.40'!C13</f>
        <v>1.93496961341429</v>
      </c>
      <c r="D13" s="102">
        <f>'Fig 7.40'!D13</f>
        <v>2.3596931659590981</v>
      </c>
      <c r="E13" s="102">
        <f>'Fig 7.40'!E13</f>
        <v>1.9649437722556762</v>
      </c>
      <c r="F13" s="102">
        <f>'Fig 7.40'!F13</f>
        <v>1.6354580941361609</v>
      </c>
      <c r="G13" s="102">
        <f>'Fig 7.40'!G13</f>
        <v>1.8341108023737227</v>
      </c>
    </row>
    <row r="14" spans="1:8" x14ac:dyDescent="0.25">
      <c r="A14" s="134" t="str">
        <f>'Fig 7.40'!A14</f>
        <v>2017</v>
      </c>
      <c r="B14" s="103">
        <f>'Fig 7.40'!B14</f>
        <v>1.6315023851717727</v>
      </c>
      <c r="C14" s="103">
        <f>'Fig 7.40'!C14</f>
        <v>1.917099015825761</v>
      </c>
      <c r="D14" s="103">
        <f>'Fig 7.40'!D14</f>
        <v>2.8086355537809249</v>
      </c>
      <c r="E14" s="103">
        <f>'Fig 7.40'!E14</f>
        <v>1.870256270466411</v>
      </c>
      <c r="F14" s="103">
        <f>'Fig 7.40'!F14</f>
        <v>1.5507695518991114</v>
      </c>
      <c r="G14" s="103">
        <f>'Fig 7.40'!G14</f>
        <v>1.8989949825580048</v>
      </c>
    </row>
    <row r="15" spans="1:8" x14ac:dyDescent="0.25">
      <c r="A15" s="176" t="str">
        <f>'Fig 7.40'!A15</f>
        <v>2018</v>
      </c>
      <c r="B15" s="102">
        <f>'Fig 7.40'!B15</f>
        <v>1.6705225975162619</v>
      </c>
      <c r="C15" s="102">
        <f>'Fig 7.40'!C15</f>
        <v>2.1197219514014751</v>
      </c>
      <c r="D15" s="102">
        <f>'Fig 7.40'!D15</f>
        <v>2.8153296215378156</v>
      </c>
      <c r="E15" s="102">
        <f>'Fig 7.40'!E15</f>
        <v>1.8520299316286226</v>
      </c>
      <c r="F15" s="102">
        <f>'Fig 7.40'!F15</f>
        <v>1.8610261771547305</v>
      </c>
      <c r="G15" s="102">
        <f>'Fig 7.40'!G15</f>
        <v>1.9848799708970599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Plan193"/>
  <dimension ref="A1:U44"/>
  <sheetViews>
    <sheetView showGridLines="0" workbookViewId="0">
      <selection activeCell="R33" sqref="R33"/>
    </sheetView>
  </sheetViews>
  <sheetFormatPr defaultRowHeight="15" x14ac:dyDescent="0.25"/>
  <cols>
    <col min="2" max="7" width="12.42578125" customWidth="1"/>
    <col min="12" max="12" width="9.140625" style="253"/>
    <col min="14" max="14" width="9.5703125" bestFit="1" customWidth="1"/>
    <col min="15" max="17" width="9.28515625" bestFit="1" customWidth="1"/>
    <col min="18" max="18" width="15.42578125" bestFit="1" customWidth="1"/>
    <col min="19" max="21" width="9.28515625" bestFit="1" customWidth="1"/>
  </cols>
  <sheetData>
    <row r="1" spans="1:21" x14ac:dyDescent="0.25">
      <c r="C1" s="78"/>
      <c r="D1" s="78"/>
      <c r="E1" s="78"/>
      <c r="F1" s="78"/>
      <c r="G1" s="78" t="s">
        <v>1418</v>
      </c>
      <c r="H1" s="78" t="s">
        <v>1419</v>
      </c>
    </row>
    <row r="3" spans="1:21" x14ac:dyDescent="0.25">
      <c r="A3" s="350" t="str">
        <f>"Tabela Referente à "&amp;G1</f>
        <v>Tabela Referente à Figura 7.42</v>
      </c>
      <c r="B3" s="350"/>
      <c r="C3" s="350"/>
      <c r="D3" s="350"/>
      <c r="E3" s="350"/>
      <c r="F3" s="350"/>
      <c r="G3" s="350"/>
    </row>
    <row r="4" spans="1:21" ht="15" customHeight="1" x14ac:dyDescent="0.25">
      <c r="A4" s="363" t="str">
        <f>H1</f>
        <v>CATK (R$/ATK) da indústria, 2009 a 2018</v>
      </c>
      <c r="B4" s="363"/>
      <c r="C4" s="363"/>
      <c r="D4" s="363"/>
      <c r="E4" s="363"/>
      <c r="F4" s="363"/>
      <c r="G4" s="363"/>
      <c r="N4" s="332"/>
      <c r="O4" s="332"/>
      <c r="P4" s="332"/>
      <c r="Q4" s="332"/>
      <c r="R4" s="332"/>
      <c r="S4" s="332"/>
      <c r="T4" s="332"/>
      <c r="U4" s="332"/>
    </row>
    <row r="5" spans="1:21" x14ac:dyDescent="0.25">
      <c r="A5" s="86" t="s">
        <v>20</v>
      </c>
      <c r="B5" s="91" t="s">
        <v>526</v>
      </c>
      <c r="C5" s="91" t="s">
        <v>59</v>
      </c>
      <c r="D5" s="91" t="s">
        <v>60</v>
      </c>
      <c r="E5" s="91" t="s">
        <v>61</v>
      </c>
      <c r="F5" s="91" t="s">
        <v>102</v>
      </c>
      <c r="G5" s="91" t="s">
        <v>10</v>
      </c>
      <c r="L5" s="335"/>
      <c r="N5" s="333"/>
      <c r="O5" s="5"/>
      <c r="P5" s="5"/>
      <c r="Q5" s="5"/>
      <c r="R5" s="5"/>
      <c r="S5" s="5"/>
      <c r="T5" s="5"/>
      <c r="U5" s="5"/>
    </row>
    <row r="6" spans="1:21" x14ac:dyDescent="0.25">
      <c r="A6" s="258" t="s">
        <v>44</v>
      </c>
      <c r="B6" s="259">
        <v>1.1819304047856727</v>
      </c>
      <c r="C6" s="260">
        <v>1.8805328995278618</v>
      </c>
      <c r="D6" s="260">
        <v>1.7752860502561052</v>
      </c>
      <c r="E6" s="260">
        <v>1.785445628401797</v>
      </c>
      <c r="F6" s="260">
        <v>0.41299301290658408</v>
      </c>
      <c r="G6" s="260">
        <v>1.3404524822778738</v>
      </c>
      <c r="H6" s="255"/>
      <c r="I6" s="255"/>
      <c r="J6" s="255"/>
      <c r="K6" s="255"/>
      <c r="L6" s="335"/>
      <c r="M6" s="255"/>
      <c r="N6" s="334"/>
      <c r="O6" s="309"/>
      <c r="P6" s="5"/>
      <c r="Q6" s="5"/>
      <c r="R6" s="5"/>
      <c r="S6" s="5"/>
      <c r="T6" s="5"/>
      <c r="U6" s="5"/>
    </row>
    <row r="7" spans="1:21" x14ac:dyDescent="0.25">
      <c r="A7" s="261" t="s">
        <v>45</v>
      </c>
      <c r="B7" s="262">
        <v>1.2209764025440939</v>
      </c>
      <c r="C7" s="263">
        <v>1.4651104084612705</v>
      </c>
      <c r="D7" s="263">
        <v>1.3915046030972265</v>
      </c>
      <c r="E7" s="263">
        <v>2.421103687990573</v>
      </c>
      <c r="F7" s="263">
        <v>1.0216713764830945</v>
      </c>
      <c r="G7" s="263">
        <v>1.3292241602562109</v>
      </c>
      <c r="H7" s="255"/>
      <c r="I7" s="255"/>
      <c r="J7" s="255"/>
      <c r="K7" s="255"/>
      <c r="L7" s="335"/>
      <c r="M7" s="255"/>
      <c r="N7" s="334"/>
      <c r="O7" s="309"/>
      <c r="P7" s="5"/>
      <c r="Q7" s="5"/>
      <c r="R7" s="5"/>
      <c r="S7" s="5"/>
      <c r="T7" s="5"/>
      <c r="U7" s="5"/>
    </row>
    <row r="8" spans="1:21" x14ac:dyDescent="0.25">
      <c r="A8" s="264" t="s">
        <v>3</v>
      </c>
      <c r="B8" s="265">
        <v>1.2460368345540871</v>
      </c>
      <c r="C8" s="266">
        <v>1.6476705832764207</v>
      </c>
      <c r="D8" s="266">
        <v>1.4391175586251517</v>
      </c>
      <c r="E8" s="266">
        <v>2.126777923400359</v>
      </c>
      <c r="F8" s="266">
        <v>0.93413211482151026</v>
      </c>
      <c r="G8" s="266">
        <v>1.4252170027279534</v>
      </c>
      <c r="H8" s="255"/>
      <c r="I8" s="255"/>
      <c r="J8" s="255"/>
      <c r="K8" s="255"/>
      <c r="L8" s="335"/>
      <c r="M8" s="255"/>
      <c r="N8" s="334"/>
      <c r="O8" s="309"/>
      <c r="P8" s="5"/>
      <c r="Q8" s="5"/>
      <c r="R8" s="5"/>
      <c r="S8" s="5"/>
      <c r="T8" s="5"/>
      <c r="U8" s="5"/>
    </row>
    <row r="9" spans="1:21" x14ac:dyDescent="0.25">
      <c r="A9" s="261" t="s">
        <v>4</v>
      </c>
      <c r="B9" s="262">
        <v>1.3944044573969918</v>
      </c>
      <c r="C9" s="263">
        <v>1.8154283990988385</v>
      </c>
      <c r="D9" s="263">
        <v>1.8359228265804757</v>
      </c>
      <c r="E9" s="263">
        <v>2.0195129588187122</v>
      </c>
      <c r="F9" s="263">
        <v>1.1670346335268211</v>
      </c>
      <c r="G9" s="263">
        <v>1.5827685547933172</v>
      </c>
      <c r="H9" s="254"/>
      <c r="I9" s="254"/>
      <c r="J9" s="254"/>
      <c r="K9" s="254"/>
      <c r="L9" s="335"/>
      <c r="M9" s="254"/>
      <c r="N9" s="334"/>
      <c r="O9" s="5"/>
      <c r="P9" s="5"/>
      <c r="Q9" s="5"/>
      <c r="R9" s="5"/>
      <c r="S9" s="5"/>
      <c r="T9" s="5"/>
      <c r="U9" s="5"/>
    </row>
    <row r="10" spans="1:21" x14ac:dyDescent="0.25">
      <c r="A10" s="264" t="s">
        <v>395</v>
      </c>
      <c r="B10" s="265">
        <v>1.4469819454513888</v>
      </c>
      <c r="C10" s="266">
        <v>1.85448087618479</v>
      </c>
      <c r="D10" s="266">
        <v>1.8714644657677117</v>
      </c>
      <c r="E10" s="266">
        <v>1.9375239167937879</v>
      </c>
      <c r="F10" s="266">
        <v>1.630970533171257</v>
      </c>
      <c r="G10" s="266">
        <v>1.6499051775460944</v>
      </c>
      <c r="H10" s="254"/>
      <c r="I10" s="254"/>
      <c r="J10" s="254"/>
      <c r="K10" s="254"/>
      <c r="L10" s="335"/>
      <c r="M10" s="254"/>
      <c r="N10" s="333"/>
      <c r="O10" s="5"/>
      <c r="P10" s="5"/>
      <c r="Q10" s="5"/>
      <c r="R10" s="5"/>
      <c r="S10" s="5"/>
      <c r="T10" s="5"/>
      <c r="U10" s="5"/>
    </row>
    <row r="11" spans="1:21" x14ac:dyDescent="0.25">
      <c r="A11" s="261" t="s">
        <v>413</v>
      </c>
      <c r="B11" s="262">
        <v>1.5370118141869586</v>
      </c>
      <c r="C11" s="263">
        <v>1.9845454396417566</v>
      </c>
      <c r="D11" s="263">
        <v>2.1262685904488015</v>
      </c>
      <c r="E11" s="263">
        <v>1.8959519099794633</v>
      </c>
      <c r="F11" s="263">
        <v>1.6402345104596465</v>
      </c>
      <c r="G11" s="263">
        <v>1.7782954891879272</v>
      </c>
      <c r="H11" s="254"/>
      <c r="I11" s="254"/>
      <c r="J11" s="254"/>
      <c r="K11" s="254"/>
      <c r="L11" s="335"/>
      <c r="M11" s="253"/>
      <c r="N11" s="333"/>
      <c r="O11" s="5"/>
      <c r="P11" s="5"/>
      <c r="Q11" s="5"/>
      <c r="R11" s="5"/>
      <c r="S11" s="5"/>
      <c r="T11" s="5"/>
      <c r="U11" s="5"/>
    </row>
    <row r="12" spans="1:21" x14ac:dyDescent="0.25">
      <c r="A12" s="264" t="s">
        <v>489</v>
      </c>
      <c r="B12" s="265">
        <v>1.4762423468773083</v>
      </c>
      <c r="C12" s="266">
        <v>1.7854866495495245</v>
      </c>
      <c r="D12" s="266">
        <v>2.3530742937727296</v>
      </c>
      <c r="E12" s="266">
        <v>1.7405851140942092</v>
      </c>
      <c r="F12" s="266">
        <v>1.6952091639367992</v>
      </c>
      <c r="G12" s="266">
        <v>1.708726750269149</v>
      </c>
      <c r="H12" s="254"/>
      <c r="I12" s="254"/>
      <c r="J12" s="254"/>
      <c r="K12" s="254"/>
      <c r="L12" s="335"/>
      <c r="M12" s="253"/>
      <c r="N12" s="333"/>
      <c r="O12" s="5"/>
      <c r="P12" s="5"/>
      <c r="Q12" s="5"/>
      <c r="R12" s="5"/>
      <c r="S12" s="5"/>
      <c r="T12" s="5"/>
      <c r="U12" s="5"/>
    </row>
    <row r="13" spans="1:21" x14ac:dyDescent="0.25">
      <c r="A13" s="261" t="s">
        <v>524</v>
      </c>
      <c r="B13" s="262">
        <v>1.6150009884706154</v>
      </c>
      <c r="C13" s="263">
        <v>1.7535460252436268</v>
      </c>
      <c r="D13" s="263">
        <v>2.2028262836384673</v>
      </c>
      <c r="E13" s="263">
        <v>1.7567992277070446</v>
      </c>
      <c r="F13" s="263">
        <v>1.6570764335233961</v>
      </c>
      <c r="G13" s="263">
        <v>1.7571113127722078</v>
      </c>
      <c r="H13" s="254"/>
      <c r="I13" s="254"/>
      <c r="J13" s="254"/>
      <c r="K13" s="254"/>
      <c r="L13" s="335"/>
      <c r="M13" s="253"/>
      <c r="N13" s="333"/>
      <c r="O13" s="5"/>
      <c r="P13" s="5"/>
      <c r="Q13" s="331"/>
      <c r="R13" s="5"/>
      <c r="S13" s="5"/>
      <c r="T13" s="5"/>
      <c r="U13" s="5"/>
    </row>
    <row r="14" spans="1:21" x14ac:dyDescent="0.25">
      <c r="A14" s="264">
        <v>2017</v>
      </c>
      <c r="B14" s="265">
        <v>1.53348288477739</v>
      </c>
      <c r="C14" s="266">
        <v>1.7458151997821547</v>
      </c>
      <c r="D14" s="266">
        <v>2.4147093704296259</v>
      </c>
      <c r="E14" s="266">
        <v>1.7711076241749688</v>
      </c>
      <c r="F14" s="266">
        <v>1.5016177271468245</v>
      </c>
      <c r="G14" s="266">
        <v>1.740108052063897</v>
      </c>
      <c r="H14" s="254"/>
      <c r="I14" s="254"/>
      <c r="J14" s="254"/>
      <c r="K14" s="254"/>
      <c r="L14" s="335"/>
      <c r="M14" s="253"/>
      <c r="N14" s="333"/>
      <c r="O14" s="5"/>
      <c r="P14" s="5"/>
      <c r="Q14" s="5"/>
      <c r="R14" s="5"/>
      <c r="S14" s="5"/>
      <c r="T14" s="5"/>
      <c r="U14" s="5"/>
    </row>
    <row r="15" spans="1:21" x14ac:dyDescent="0.25">
      <c r="A15" s="261">
        <v>2018</v>
      </c>
      <c r="B15" s="262">
        <v>1.6826228032818697</v>
      </c>
      <c r="C15" s="263">
        <v>1.9923764198057206</v>
      </c>
      <c r="D15" s="263">
        <v>2.5468782719002863</v>
      </c>
      <c r="E15" s="263">
        <v>1.9234522767221551</v>
      </c>
      <c r="F15" s="263">
        <v>1.8340085777781421</v>
      </c>
      <c r="G15" s="263">
        <v>1.9254180190918349</v>
      </c>
      <c r="H15" s="66"/>
      <c r="I15" s="66"/>
      <c r="J15" s="66"/>
    </row>
    <row r="16" spans="1:21" x14ac:dyDescent="0.25">
      <c r="G16" s="66"/>
      <c r="H16" s="66"/>
      <c r="I16" s="66"/>
      <c r="J16" s="66"/>
    </row>
    <row r="17" spans="7:18" x14ac:dyDescent="0.25">
      <c r="G17" s="66"/>
      <c r="H17" s="66"/>
      <c r="I17" s="66"/>
      <c r="J17" s="66"/>
    </row>
    <row r="18" spans="7:18" x14ac:dyDescent="0.25">
      <c r="G18" s="66"/>
    </row>
    <row r="29" spans="7:18" x14ac:dyDescent="0.25">
      <c r="H29" s="66"/>
      <c r="I29" s="66"/>
      <c r="J29" s="66"/>
      <c r="K29" s="66"/>
      <c r="L29" s="66"/>
      <c r="M29" s="66"/>
      <c r="N29" s="66"/>
      <c r="R29" s="66"/>
    </row>
    <row r="30" spans="7:18" x14ac:dyDescent="0.25">
      <c r="G30" s="66"/>
      <c r="H30" s="66"/>
      <c r="I30" s="66"/>
      <c r="J30" s="66"/>
      <c r="K30" s="66"/>
      <c r="L30" s="66"/>
      <c r="M30" s="66"/>
      <c r="N30" s="66"/>
      <c r="R30" s="66"/>
    </row>
    <row r="31" spans="7:18" x14ac:dyDescent="0.25">
      <c r="G31" s="66"/>
      <c r="H31" s="66"/>
      <c r="I31" s="66"/>
      <c r="J31" s="66"/>
      <c r="K31" s="66"/>
      <c r="L31" s="66"/>
      <c r="M31" s="66"/>
      <c r="N31" s="66"/>
      <c r="R31" s="66"/>
    </row>
    <row r="32" spans="7:18" x14ac:dyDescent="0.25">
      <c r="G32" s="66"/>
      <c r="H32" s="66"/>
      <c r="I32" s="66"/>
      <c r="J32" s="66"/>
      <c r="K32" s="66"/>
      <c r="L32" s="66"/>
      <c r="M32" s="66"/>
      <c r="N32" s="66"/>
      <c r="R32" s="66"/>
    </row>
    <row r="33" spans="2:18" x14ac:dyDescent="0.25">
      <c r="G33" s="66"/>
      <c r="H33" s="66"/>
      <c r="I33" s="66"/>
      <c r="J33" s="66"/>
      <c r="K33" s="66"/>
      <c r="L33" s="66"/>
      <c r="M33" s="66"/>
      <c r="N33" s="66"/>
      <c r="R33" s="66"/>
    </row>
    <row r="34" spans="2:18" x14ac:dyDescent="0.25">
      <c r="G34" s="66"/>
      <c r="H34" s="66"/>
      <c r="I34" s="66"/>
      <c r="J34" s="66"/>
      <c r="K34" s="66"/>
      <c r="L34" s="66"/>
      <c r="M34" s="66"/>
      <c r="N34" s="66"/>
      <c r="R34" s="66"/>
    </row>
    <row r="35" spans="2:18" x14ac:dyDescent="0.25">
      <c r="G35" s="66"/>
    </row>
    <row r="39" spans="2:18" x14ac:dyDescent="0.25">
      <c r="B39" s="66"/>
      <c r="C39" s="66"/>
      <c r="D39" s="66"/>
      <c r="E39" s="66"/>
      <c r="F39" s="66"/>
    </row>
    <row r="40" spans="2:18" x14ac:dyDescent="0.25">
      <c r="B40" s="66"/>
      <c r="C40" s="66"/>
      <c r="D40" s="66"/>
      <c r="E40" s="66"/>
      <c r="F40" s="66"/>
    </row>
    <row r="41" spans="2:18" x14ac:dyDescent="0.25">
      <c r="B41" s="66"/>
      <c r="C41" s="66"/>
      <c r="D41" s="66"/>
      <c r="E41" s="66"/>
      <c r="F41" s="66"/>
    </row>
    <row r="42" spans="2:18" x14ac:dyDescent="0.25">
      <c r="B42" s="66"/>
      <c r="C42" s="66"/>
      <c r="D42" s="66"/>
      <c r="E42" s="66"/>
      <c r="F42" s="66"/>
    </row>
    <row r="43" spans="2:18" x14ac:dyDescent="0.25">
      <c r="B43" s="66"/>
      <c r="C43" s="66"/>
      <c r="D43" s="66"/>
      <c r="E43" s="66"/>
      <c r="F43" s="66"/>
    </row>
    <row r="44" spans="2:18" x14ac:dyDescent="0.25">
      <c r="B44" s="66"/>
      <c r="C44" s="66"/>
      <c r="D44" s="66"/>
      <c r="E44" s="66"/>
      <c r="F44" s="66"/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A6:A13" numberStoredAsText="1"/>
  </ignoredErrors>
  <drawing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Plan194"/>
  <dimension ref="A1:H15"/>
  <sheetViews>
    <sheetView showGridLines="0" workbookViewId="0">
      <selection activeCell="E10" sqref="E10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1420</v>
      </c>
      <c r="H1" s="78" t="s">
        <v>1421</v>
      </c>
    </row>
    <row r="3" spans="1:8" x14ac:dyDescent="0.25">
      <c r="A3" s="350" t="str">
        <f>"Tabela Referente à "&amp;G1</f>
        <v>Tabela Referente à Figura 7.43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CATK (R$/ATK)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7.42'!A5</f>
        <v>Ano</v>
      </c>
      <c r="B5" s="106" t="str">
        <f>'Fig 7.42'!B5</f>
        <v>Latam</v>
      </c>
      <c r="C5" s="106" t="str">
        <f>'Fig 7.42'!C5</f>
        <v>Gol</v>
      </c>
      <c r="D5" s="106" t="str">
        <f>'Fig 7.42'!D5</f>
        <v>Azul</v>
      </c>
      <c r="E5" s="106" t="str">
        <f>'Fig 7.42'!E5</f>
        <v>Avianca</v>
      </c>
      <c r="F5" s="106" t="str">
        <f>'Fig 7.42'!F5</f>
        <v>Absa</v>
      </c>
      <c r="G5" s="106" t="str">
        <f>'Fig 7.42'!G5</f>
        <v>Indústria</v>
      </c>
    </row>
    <row r="6" spans="1:8" x14ac:dyDescent="0.25">
      <c r="A6" s="92" t="str">
        <f>'Fig 7.42'!A6</f>
        <v>2009</v>
      </c>
      <c r="B6" s="102">
        <f>'Fig 7.42'!B6</f>
        <v>1.1819304047856727</v>
      </c>
      <c r="C6" s="102">
        <f>'Fig 7.42'!C6</f>
        <v>1.8805328995278618</v>
      </c>
      <c r="D6" s="102">
        <f>'Fig 7.42'!D6</f>
        <v>1.7752860502561052</v>
      </c>
      <c r="E6" s="102">
        <f>'Fig 7.42'!E6</f>
        <v>1.785445628401797</v>
      </c>
      <c r="F6" s="102">
        <f>'Fig 7.42'!F6</f>
        <v>0.41299301290658408</v>
      </c>
      <c r="G6" s="102">
        <f>'Fig 7.42'!G6</f>
        <v>1.3404524822778738</v>
      </c>
    </row>
    <row r="7" spans="1:8" x14ac:dyDescent="0.25">
      <c r="A7" s="93" t="str">
        <f>'Fig 7.42'!A7</f>
        <v>2010</v>
      </c>
      <c r="B7" s="103">
        <f>'Fig 7.42'!B7</f>
        <v>1.2209764025440939</v>
      </c>
      <c r="C7" s="103">
        <f>'Fig 7.42'!C7</f>
        <v>1.4651104084612705</v>
      </c>
      <c r="D7" s="103">
        <f>'Fig 7.42'!D7</f>
        <v>1.3915046030972265</v>
      </c>
      <c r="E7" s="103">
        <f>'Fig 7.42'!E7</f>
        <v>2.421103687990573</v>
      </c>
      <c r="F7" s="103">
        <f>'Fig 7.42'!F7</f>
        <v>1.0216713764830945</v>
      </c>
      <c r="G7" s="103">
        <f>'Fig 7.42'!G7</f>
        <v>1.3292241602562109</v>
      </c>
    </row>
    <row r="8" spans="1:8" x14ac:dyDescent="0.25">
      <c r="A8" s="92" t="str">
        <f>'Fig 7.42'!A8</f>
        <v>2011</v>
      </c>
      <c r="B8" s="102">
        <f>'Fig 7.42'!B8</f>
        <v>1.2460368345540871</v>
      </c>
      <c r="C8" s="102">
        <f>'Fig 7.42'!C8</f>
        <v>1.6476705832764207</v>
      </c>
      <c r="D8" s="102">
        <f>'Fig 7.42'!D8</f>
        <v>1.4391175586251517</v>
      </c>
      <c r="E8" s="102">
        <f>'Fig 7.42'!E8</f>
        <v>2.126777923400359</v>
      </c>
      <c r="F8" s="102">
        <f>'Fig 7.42'!F8</f>
        <v>0.93413211482151026</v>
      </c>
      <c r="G8" s="102">
        <f>'Fig 7.42'!G8</f>
        <v>1.4252170027279534</v>
      </c>
    </row>
    <row r="9" spans="1:8" x14ac:dyDescent="0.25">
      <c r="A9" s="93" t="str">
        <f>'Fig 7.42'!A9</f>
        <v>2012</v>
      </c>
      <c r="B9" s="103">
        <f>'Fig 7.42'!B9</f>
        <v>1.3944044573969918</v>
      </c>
      <c r="C9" s="103">
        <f>'Fig 7.42'!C9</f>
        <v>1.8154283990988385</v>
      </c>
      <c r="D9" s="103">
        <f>'Fig 7.42'!D9</f>
        <v>1.8359228265804757</v>
      </c>
      <c r="E9" s="103">
        <f>'Fig 7.42'!E9</f>
        <v>2.0195129588187122</v>
      </c>
      <c r="F9" s="103">
        <f>'Fig 7.42'!F9</f>
        <v>1.1670346335268211</v>
      </c>
      <c r="G9" s="103">
        <f>'Fig 7.42'!G9</f>
        <v>1.5827685547933172</v>
      </c>
    </row>
    <row r="10" spans="1:8" x14ac:dyDescent="0.25">
      <c r="A10" s="92" t="str">
        <f>'Fig 7.42'!A10</f>
        <v>2013</v>
      </c>
      <c r="B10" s="102">
        <f>'Fig 7.42'!B10</f>
        <v>1.4469819454513888</v>
      </c>
      <c r="C10" s="102">
        <f>'Fig 7.42'!C10</f>
        <v>1.85448087618479</v>
      </c>
      <c r="D10" s="102">
        <f>'Fig 7.42'!D10</f>
        <v>1.8714644657677117</v>
      </c>
      <c r="E10" s="102">
        <f>'Fig 7.42'!E10</f>
        <v>1.9375239167937879</v>
      </c>
      <c r="F10" s="102">
        <f>'Fig 7.42'!F10</f>
        <v>1.630970533171257</v>
      </c>
      <c r="G10" s="102">
        <f>'Fig 7.42'!G10</f>
        <v>1.6499051775460944</v>
      </c>
    </row>
    <row r="11" spans="1:8" x14ac:dyDescent="0.25">
      <c r="A11" s="93" t="str">
        <f>'Fig 7.42'!A11</f>
        <v>2014</v>
      </c>
      <c r="B11" s="103">
        <f>'Fig 7.42'!B11</f>
        <v>1.5370118141869586</v>
      </c>
      <c r="C11" s="103">
        <f>'Fig 7.42'!C11</f>
        <v>1.9845454396417566</v>
      </c>
      <c r="D11" s="103">
        <f>'Fig 7.42'!D11</f>
        <v>2.1262685904488015</v>
      </c>
      <c r="E11" s="103">
        <f>'Fig 7.42'!E11</f>
        <v>1.8959519099794633</v>
      </c>
      <c r="F11" s="103">
        <f>'Fig 7.42'!F11</f>
        <v>1.6402345104596465</v>
      </c>
      <c r="G11" s="103">
        <f>'Fig 7.42'!G11</f>
        <v>1.7782954891879272</v>
      </c>
    </row>
    <row r="12" spans="1:8" x14ac:dyDescent="0.25">
      <c r="A12" s="92" t="str">
        <f>'Fig 7.42'!A12</f>
        <v>2015</v>
      </c>
      <c r="B12" s="102">
        <f>'Fig 7.42'!B12</f>
        <v>1.4762423468773083</v>
      </c>
      <c r="C12" s="102">
        <f>'Fig 7.42'!C12</f>
        <v>1.7854866495495245</v>
      </c>
      <c r="D12" s="102">
        <f>'Fig 7.42'!D12</f>
        <v>2.3530742937727296</v>
      </c>
      <c r="E12" s="102">
        <f>'Fig 7.42'!E12</f>
        <v>1.7405851140942092</v>
      </c>
      <c r="F12" s="102">
        <f>'Fig 7.42'!F12</f>
        <v>1.6952091639367992</v>
      </c>
      <c r="G12" s="102">
        <f>'Fig 7.42'!G12</f>
        <v>1.708726750269149</v>
      </c>
    </row>
    <row r="13" spans="1:8" x14ac:dyDescent="0.25">
      <c r="A13" s="93" t="str">
        <f>'Fig 7.42'!A13</f>
        <v>2016</v>
      </c>
      <c r="B13" s="103">
        <f>'Fig 7.42'!B13</f>
        <v>1.6150009884706154</v>
      </c>
      <c r="C13" s="103">
        <f>'Fig 7.42'!C13</f>
        <v>1.7535460252436268</v>
      </c>
      <c r="D13" s="103">
        <f>'Fig 7.42'!D13</f>
        <v>2.2028262836384673</v>
      </c>
      <c r="E13" s="103">
        <f>'Fig 7.42'!E13</f>
        <v>1.7567992277070446</v>
      </c>
      <c r="F13" s="103">
        <f>'Fig 7.42'!F13</f>
        <v>1.6570764335233961</v>
      </c>
      <c r="G13" s="103">
        <f>'Fig 7.42'!G13</f>
        <v>1.7571113127722078</v>
      </c>
    </row>
    <row r="14" spans="1:8" x14ac:dyDescent="0.25">
      <c r="A14" s="92">
        <f>'Fig 7.42'!A14</f>
        <v>2017</v>
      </c>
      <c r="B14" s="102">
        <f>'Fig 7.42'!B14</f>
        <v>1.53348288477739</v>
      </c>
      <c r="C14" s="102">
        <f>'Fig 7.42'!C14</f>
        <v>1.7458151997821547</v>
      </c>
      <c r="D14" s="102">
        <f>'Fig 7.42'!D14</f>
        <v>2.4147093704296259</v>
      </c>
      <c r="E14" s="102">
        <f>'Fig 7.42'!E14</f>
        <v>1.7711076241749688</v>
      </c>
      <c r="F14" s="102">
        <f>'Fig 7.42'!F14</f>
        <v>1.5016177271468245</v>
      </c>
      <c r="G14" s="102">
        <f>'Fig 7.42'!G14</f>
        <v>1.740108052063897</v>
      </c>
    </row>
    <row r="15" spans="1:8" x14ac:dyDescent="0.25">
      <c r="A15" s="93">
        <f>'Fig 7.42'!A15</f>
        <v>2018</v>
      </c>
      <c r="B15" s="103">
        <f>'Fig 7.42'!B15</f>
        <v>1.6826228032818697</v>
      </c>
      <c r="C15" s="103">
        <f>'Fig 7.42'!C15</f>
        <v>1.9923764198057206</v>
      </c>
      <c r="D15" s="103">
        <f>'Fig 7.42'!D15</f>
        <v>2.5468782719002863</v>
      </c>
      <c r="E15" s="103">
        <f>'Fig 7.42'!E15</f>
        <v>1.9234522767221551</v>
      </c>
      <c r="F15" s="103">
        <f>'Fig 7.42'!F15</f>
        <v>1.8340085777781421</v>
      </c>
      <c r="G15" s="103">
        <f>'Fig 7.42'!G15</f>
        <v>1.9254180190918349</v>
      </c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Plan214"/>
  <dimension ref="A1:H33"/>
  <sheetViews>
    <sheetView showGridLines="0" workbookViewId="0">
      <selection activeCell="O23" sqref="O23"/>
    </sheetView>
  </sheetViews>
  <sheetFormatPr defaultRowHeight="15" x14ac:dyDescent="0.25"/>
  <cols>
    <col min="2" max="4" width="15.28515625" bestFit="1" customWidth="1"/>
    <col min="5" max="5" width="13.28515625" bestFit="1" customWidth="1"/>
  </cols>
  <sheetData>
    <row r="1" spans="1:8" x14ac:dyDescent="0.25">
      <c r="C1" s="78"/>
      <c r="D1" s="78"/>
      <c r="E1" s="78"/>
      <c r="F1" s="78" t="s">
        <v>336</v>
      </c>
      <c r="G1" s="78" t="s">
        <v>1422</v>
      </c>
      <c r="H1" s="78" t="s">
        <v>1423</v>
      </c>
    </row>
    <row r="3" spans="1:8" x14ac:dyDescent="0.25">
      <c r="A3" s="350" t="str">
        <f>"Tabela Referente à "&amp;G1</f>
        <v>Tabela Referente à Figura 7.44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RATK/CATK da indústria, 2009 a 2018</v>
      </c>
      <c r="B4" s="363"/>
      <c r="C4" s="363"/>
      <c r="D4" s="363"/>
      <c r="E4" s="363"/>
      <c r="F4" s="363"/>
      <c r="G4" s="363"/>
    </row>
    <row r="5" spans="1:8" x14ac:dyDescent="0.25">
      <c r="A5" s="86" t="s">
        <v>20</v>
      </c>
      <c r="B5" s="106" t="str">
        <f>'Fig 7.40'!B5</f>
        <v>Latam</v>
      </c>
      <c r="C5" s="106" t="str">
        <f>'Fig 7.40'!C5</f>
        <v>Gol</v>
      </c>
      <c r="D5" s="106" t="str">
        <f>'Fig 7.40'!D5</f>
        <v>Azul</v>
      </c>
      <c r="E5" s="106" t="str">
        <f>'Fig 7.40'!E5</f>
        <v>Avianca</v>
      </c>
      <c r="F5" s="106" t="str">
        <f>'Fig 7.40'!F5</f>
        <v>Absa</v>
      </c>
      <c r="G5" s="106" t="str">
        <f>'Fig 7.40'!G5</f>
        <v>Indústria</v>
      </c>
    </row>
    <row r="6" spans="1:8" x14ac:dyDescent="0.25">
      <c r="A6" s="176" t="str">
        <f>'Fig 7.40'!A6</f>
        <v>2009</v>
      </c>
      <c r="B6" s="102">
        <f>IFERROR('Fig 7.40'!B6/'Fig 7.42'!B6,"")</f>
        <v>0.91340916948286688</v>
      </c>
      <c r="C6" s="102">
        <f>IFERROR('Fig 7.40'!C6/'Fig 7.42'!C6,"")</f>
        <v>1.0525997677172565</v>
      </c>
      <c r="D6" s="102">
        <f>IFERROR('Fig 7.40'!D6/'Fig 7.42'!D6,"")</f>
        <v>0.73155182500240712</v>
      </c>
      <c r="E6" s="102">
        <f>IFERROR('Fig 7.40'!E6/'Fig 7.42'!E6,"")</f>
        <v>0.85399451773151847</v>
      </c>
      <c r="F6" s="102">
        <f>IFERROR('Fig 7.40'!F6/'Fig 7.42'!F6,"")</f>
        <v>1.0506218426429381</v>
      </c>
      <c r="G6" s="102">
        <f>IFERROR('Fig 7.40'!G6/'Fig 7.42'!G6,"")</f>
        <v>0.95417485629710852</v>
      </c>
    </row>
    <row r="7" spans="1:8" x14ac:dyDescent="0.25">
      <c r="A7" s="93" t="str">
        <f>'Fig 7.40'!A7</f>
        <v>2010</v>
      </c>
      <c r="B7" s="103">
        <f>IFERROR('Fig 7.40'!B7/'Fig 7.42'!B7,"")</f>
        <v>0.95632288577934821</v>
      </c>
      <c r="C7" s="103">
        <f>IFERROR('Fig 7.40'!C7/'Fig 7.42'!C7,"")</f>
        <v>1.0946193091542982</v>
      </c>
      <c r="D7" s="103">
        <f>IFERROR('Fig 7.40'!D7/'Fig 7.42'!D7,"")</f>
        <v>0.94368130596024435</v>
      </c>
      <c r="E7" s="103">
        <f>IFERROR('Fig 7.40'!E7/'Fig 7.42'!E7,"")</f>
        <v>0.90535526773081865</v>
      </c>
      <c r="F7" s="103">
        <f>IFERROR('Fig 7.40'!F7/'Fig 7.42'!F7,"")</f>
        <v>0.96519023916408153</v>
      </c>
      <c r="G7" s="103">
        <f>IFERROR('Fig 7.40'!G7/'Fig 7.42'!G7,"")</f>
        <v>1.0051939714493292</v>
      </c>
    </row>
    <row r="8" spans="1:8" x14ac:dyDescent="0.25">
      <c r="A8" s="92" t="str">
        <f>'Fig 7.40'!A8</f>
        <v>2011</v>
      </c>
      <c r="B8" s="102">
        <f>IFERROR('Fig 7.40'!B8/'Fig 7.42'!B8,"")</f>
        <v>0.96250361949523777</v>
      </c>
      <c r="C8" s="102">
        <f>IFERROR('Fig 7.40'!C8/'Fig 7.42'!C8,"")</f>
        <v>0.96831470694237975</v>
      </c>
      <c r="D8" s="102">
        <f>IFERROR('Fig 7.40'!D8/'Fig 7.42'!D8,"")</f>
        <v>1.0118912562994855</v>
      </c>
      <c r="E8" s="102">
        <f>IFERROR('Fig 7.40'!E8/'Fig 7.42'!E8,"")</f>
        <v>0.95374163386753985</v>
      </c>
      <c r="F8" s="102">
        <f>IFERROR('Fig 7.40'!F8/'Fig 7.42'!F8,"")</f>
        <v>0.94613492908015273</v>
      </c>
      <c r="G8" s="102">
        <f>IFERROR('Fig 7.40'!G8/'Fig 7.42'!G8,"")</f>
        <v>0.95771050681751524</v>
      </c>
    </row>
    <row r="9" spans="1:8" x14ac:dyDescent="0.25">
      <c r="A9" s="93" t="str">
        <f>'Fig 7.40'!A9</f>
        <v>2012</v>
      </c>
      <c r="B9" s="103">
        <f>IFERROR('Fig 7.40'!B9/'Fig 7.42'!B9,"")</f>
        <v>0.8693131525030694</v>
      </c>
      <c r="C9" s="103">
        <f>IFERROR('Fig 7.40'!C9/'Fig 7.42'!C9,"")</f>
        <v>0.90234260648088638</v>
      </c>
      <c r="D9" s="103">
        <f>IFERROR('Fig 7.40'!D9/'Fig 7.42'!D9,"")</f>
        <v>0.98137890980715381</v>
      </c>
      <c r="E9" s="103">
        <f>IFERROR('Fig 7.40'!E9/'Fig 7.42'!E9,"")</f>
        <v>0.9631117112346449</v>
      </c>
      <c r="F9" s="103">
        <f>IFERROR('Fig 7.40'!F9/'Fig 7.42'!F9,"")</f>
        <v>0.95876126745510803</v>
      </c>
      <c r="G9" s="103">
        <f>IFERROR('Fig 7.40'!G9/'Fig 7.42'!G9,"")</f>
        <v>0.89495013189185291</v>
      </c>
    </row>
    <row r="10" spans="1:8" x14ac:dyDescent="0.25">
      <c r="A10" s="92" t="str">
        <f>'Fig 7.40'!A10</f>
        <v>2013</v>
      </c>
      <c r="B10" s="102">
        <f>IFERROR('Fig 7.40'!B10/'Fig 7.42'!B10,"")</f>
        <v>0.90781913896654054</v>
      </c>
      <c r="C10" s="102">
        <f>IFERROR('Fig 7.40'!C10/'Fig 7.42'!C10,"")</f>
        <v>0.99729647952568945</v>
      </c>
      <c r="D10" s="102">
        <f>IFERROR('Fig 7.40'!D10/'Fig 7.42'!D10,"")</f>
        <v>1.1023187202950138</v>
      </c>
      <c r="E10" s="102">
        <f>IFERROR('Fig 7.40'!E10/'Fig 7.42'!E10,"")</f>
        <v>1.0290951096707541</v>
      </c>
      <c r="F10" s="102">
        <f>IFERROR('Fig 7.40'!F10/'Fig 7.42'!F10,"")</f>
        <v>0.96653478599560805</v>
      </c>
      <c r="G10" s="102">
        <f>IFERROR('Fig 7.40'!G10/'Fig 7.42'!G10,"")</f>
        <v>0.98227712168235659</v>
      </c>
    </row>
    <row r="11" spans="1:8" x14ac:dyDescent="0.25">
      <c r="A11" s="93" t="str">
        <f>'Fig 7.40'!A11</f>
        <v>2014</v>
      </c>
      <c r="B11" s="103">
        <f>IFERROR('Fig 7.40'!B11/'Fig 7.42'!B11,"")</f>
        <v>0.92706349914685615</v>
      </c>
      <c r="C11" s="103">
        <f>IFERROR('Fig 7.40'!C11/'Fig 7.42'!C11,"")</f>
        <v>1.0079626108118547</v>
      </c>
      <c r="D11" s="103">
        <f>IFERROR('Fig 7.40'!D11/'Fig 7.42'!D11,"")</f>
        <v>1.0698790957790771</v>
      </c>
      <c r="E11" s="103">
        <f>IFERROR('Fig 7.40'!E11/'Fig 7.42'!E11,"")</f>
        <v>1.0171463508029255</v>
      </c>
      <c r="F11" s="103">
        <f>IFERROR('Fig 7.40'!F11/'Fig 7.42'!F11,"")</f>
        <v>0.98862067759999239</v>
      </c>
      <c r="G11" s="103">
        <f>IFERROR('Fig 7.40'!G11/'Fig 7.42'!G11,"")</f>
        <v>0.98108232811027674</v>
      </c>
    </row>
    <row r="12" spans="1:8" x14ac:dyDescent="0.25">
      <c r="A12" s="92" t="str">
        <f>'Fig 7.40'!A12</f>
        <v>2015</v>
      </c>
      <c r="B12" s="102">
        <f>IFERROR('Fig 7.40'!B12/'Fig 7.42'!B12,"")</f>
        <v>0.9870234876590368</v>
      </c>
      <c r="C12" s="102">
        <f>IFERROR('Fig 7.40'!C12/'Fig 7.42'!C12,"")</f>
        <v>1.0033255198430782</v>
      </c>
      <c r="D12" s="102">
        <f>IFERROR('Fig 7.40'!D12/'Fig 7.42'!D12,"")</f>
        <v>1.0027430523349157</v>
      </c>
      <c r="E12" s="102">
        <f>IFERROR('Fig 7.40'!E12/'Fig 7.42'!E12,"")</f>
        <v>1.1137733245529162</v>
      </c>
      <c r="F12" s="102">
        <f>IFERROR('Fig 7.40'!F12/'Fig 7.42'!F12,"")</f>
        <v>1.0407729027376931</v>
      </c>
      <c r="G12" s="102">
        <f>IFERROR('Fig 7.40'!G12/'Fig 7.42'!G12,"")</f>
        <v>1.0073782983738311</v>
      </c>
    </row>
    <row r="13" spans="1:8" x14ac:dyDescent="0.25">
      <c r="A13" s="93" t="str">
        <f>'Fig 7.40'!A13</f>
        <v>2016</v>
      </c>
      <c r="B13" s="103">
        <f>IFERROR('Fig 7.40'!B13/'Fig 7.42'!B13,"")</f>
        <v>0.97778225613524361</v>
      </c>
      <c r="C13" s="103">
        <f>IFERROR('Fig 7.40'!C13/'Fig 7.42'!C13,"")</f>
        <v>1.1034609788160292</v>
      </c>
      <c r="D13" s="103">
        <f>IFERROR('Fig 7.40'!D13/'Fig 7.42'!D13,"")</f>
        <v>1.0712116445521658</v>
      </c>
      <c r="E13" s="103">
        <f>IFERROR('Fig 7.40'!E13/'Fig 7.42'!E13,"")</f>
        <v>1.1184794148733204</v>
      </c>
      <c r="F13" s="103">
        <f>IFERROR('Fig 7.40'!F13/'Fig 7.42'!F13,"")</f>
        <v>0.98695392744119315</v>
      </c>
      <c r="G13" s="103">
        <f>IFERROR('Fig 7.40'!G13/'Fig 7.42'!G13,"")</f>
        <v>1.0438216344302242</v>
      </c>
      <c r="H13" s="114"/>
    </row>
    <row r="14" spans="1:8" x14ac:dyDescent="0.25">
      <c r="A14" s="92" t="str">
        <f>'Fig 7.40'!A14</f>
        <v>2017</v>
      </c>
      <c r="B14" s="102">
        <f>IFERROR('Fig 7.40'!B14/'Fig 7.42'!B14,"")</f>
        <v>1.0639195268283752</v>
      </c>
      <c r="C14" s="102">
        <f>IFERROR('Fig 7.40'!C14/'Fig 7.42'!C14,"")</f>
        <v>1.0981110807518342</v>
      </c>
      <c r="D14" s="102">
        <f>IFERROR('Fig 7.40'!D14/'Fig 7.42'!D14,"")</f>
        <v>1.1631360643956965</v>
      </c>
      <c r="E14" s="102">
        <f>IFERROR('Fig 7.40'!E14/'Fig 7.42'!E14,"")</f>
        <v>1.0559811526629435</v>
      </c>
      <c r="F14" s="102">
        <f>IFERROR('Fig 7.40'!F14/'Fig 7.42'!F14,"")</f>
        <v>1.0327325815776554</v>
      </c>
      <c r="G14" s="102">
        <f>IFERROR('Fig 7.40'!G14/'Fig 7.42'!G14,"")</f>
        <v>1.0913086577041329</v>
      </c>
      <c r="H14" s="114">
        <f>G14/G13-1</f>
        <v>4.5493426949164251E-2</v>
      </c>
    </row>
    <row r="15" spans="1:8" x14ac:dyDescent="0.25">
      <c r="A15" s="93" t="str">
        <f>'Fig 7.40'!A15</f>
        <v>2018</v>
      </c>
      <c r="B15" s="103">
        <f>IFERROR('Fig 7.40'!B15/'Fig 7.42'!B15,"")</f>
        <v>0.99280872353446825</v>
      </c>
      <c r="C15" s="103">
        <f>IFERROR('Fig 7.40'!C15/'Fig 7.42'!C15,"")</f>
        <v>1.063916401704941</v>
      </c>
      <c r="D15" s="103">
        <f>IFERROR('Fig 7.40'!D15/'Fig 7.42'!D15,"")</f>
        <v>1.1054040754909074</v>
      </c>
      <c r="E15" s="103">
        <f>IFERROR('Fig 7.40'!E15/'Fig 7.42'!E15,"")</f>
        <v>0.9628676281923424</v>
      </c>
      <c r="F15" s="103">
        <f>IFERROR('Fig 7.40'!F15/'Fig 7.42'!F15,"")</f>
        <v>1.0147314465722508</v>
      </c>
      <c r="G15" s="103">
        <f>IFERROR('Fig 7.40'!G15/'Fig 7.42'!G15,"")</f>
        <v>1.0308826193666099</v>
      </c>
    </row>
    <row r="16" spans="1:8" x14ac:dyDescent="0.25">
      <c r="A16" s="29"/>
      <c r="B16" s="29"/>
      <c r="C16" s="29"/>
      <c r="D16" s="29"/>
      <c r="E16" s="29"/>
      <c r="F16" s="29"/>
      <c r="G16" s="29"/>
    </row>
    <row r="17" spans="1:7" x14ac:dyDescent="0.25">
      <c r="A17" s="29"/>
      <c r="B17" s="29"/>
      <c r="C17" s="29"/>
      <c r="D17" s="29"/>
      <c r="E17" s="29"/>
      <c r="F17" s="29"/>
      <c r="G17" s="29"/>
    </row>
    <row r="18" spans="1:7" x14ac:dyDescent="0.25">
      <c r="A18" s="29"/>
      <c r="B18" s="29"/>
      <c r="C18" s="29"/>
      <c r="D18" s="29"/>
      <c r="E18" s="29"/>
      <c r="F18" s="29"/>
      <c r="G18" s="29"/>
    </row>
    <row r="19" spans="1:7" x14ac:dyDescent="0.25">
      <c r="A19" s="29"/>
      <c r="B19" s="29"/>
      <c r="C19" s="29"/>
      <c r="D19" s="29"/>
      <c r="E19" s="29"/>
      <c r="F19" s="29"/>
      <c r="G19" s="29"/>
    </row>
    <row r="20" spans="1:7" x14ac:dyDescent="0.25">
      <c r="A20" s="29"/>
      <c r="B20" s="29"/>
      <c r="C20" s="29"/>
      <c r="D20" s="29"/>
      <c r="E20" s="29"/>
      <c r="F20" s="29"/>
      <c r="G20" s="29"/>
    </row>
    <row r="21" spans="1:7" x14ac:dyDescent="0.25">
      <c r="A21" s="29"/>
      <c r="B21" s="29"/>
      <c r="C21" s="29"/>
      <c r="D21" s="29"/>
      <c r="E21" s="29"/>
      <c r="F21" s="29"/>
      <c r="G21" s="29"/>
    </row>
    <row r="22" spans="1:7" x14ac:dyDescent="0.25">
      <c r="A22" s="29"/>
      <c r="B22" s="29"/>
      <c r="C22" s="29"/>
      <c r="D22" s="29"/>
      <c r="E22" s="29"/>
      <c r="F22" s="29"/>
      <c r="G22" s="29"/>
    </row>
    <row r="23" spans="1:7" x14ac:dyDescent="0.25">
      <c r="A23" s="29"/>
      <c r="B23" s="29"/>
      <c r="C23" s="29"/>
      <c r="D23" s="29"/>
      <c r="E23" s="29"/>
      <c r="F23" s="29"/>
      <c r="G23" s="29"/>
    </row>
    <row r="24" spans="1:7" x14ac:dyDescent="0.25">
      <c r="A24" s="29"/>
      <c r="B24" s="66"/>
      <c r="C24" s="66"/>
      <c r="D24" s="66"/>
      <c r="E24" s="66"/>
      <c r="F24" s="66"/>
      <c r="G24" s="66"/>
    </row>
    <row r="25" spans="1:7" x14ac:dyDescent="0.25">
      <c r="A25" s="29"/>
      <c r="B25" s="66"/>
      <c r="C25" s="66"/>
      <c r="D25" s="66"/>
      <c r="E25" s="66"/>
      <c r="F25" s="66"/>
      <c r="G25" s="66"/>
    </row>
    <row r="26" spans="1:7" x14ac:dyDescent="0.25">
      <c r="A26" s="29"/>
      <c r="B26" s="66"/>
      <c r="C26" s="66"/>
      <c r="D26" s="66"/>
      <c r="E26" s="66"/>
      <c r="F26" s="66"/>
      <c r="G26" s="66"/>
    </row>
    <row r="28" spans="1:7" x14ac:dyDescent="0.25">
      <c r="B28" s="139"/>
    </row>
    <row r="29" spans="1:7" x14ac:dyDescent="0.25">
      <c r="B29" s="139"/>
      <c r="C29" s="139"/>
      <c r="D29" s="139"/>
      <c r="E29" s="139"/>
      <c r="F29" s="139"/>
      <c r="G29" s="139"/>
    </row>
    <row r="30" spans="1:7" x14ac:dyDescent="0.25">
      <c r="B30" s="139"/>
      <c r="C30" s="139"/>
      <c r="D30" s="139"/>
      <c r="E30" s="139"/>
      <c r="F30" s="139"/>
      <c r="G30" s="139"/>
    </row>
    <row r="31" spans="1:7" x14ac:dyDescent="0.25">
      <c r="B31" s="139"/>
      <c r="C31" s="139"/>
      <c r="D31" s="139"/>
      <c r="E31" s="139"/>
      <c r="F31" s="139"/>
      <c r="G31" s="139"/>
    </row>
    <row r="32" spans="1:7" x14ac:dyDescent="0.25">
      <c r="B32" s="139"/>
      <c r="C32" s="139"/>
      <c r="D32" s="139"/>
      <c r="E32" s="139"/>
      <c r="F32" s="139"/>
      <c r="G32" s="139"/>
    </row>
    <row r="33" spans="2:7" x14ac:dyDescent="0.25">
      <c r="B33" s="139"/>
      <c r="C33" s="139"/>
      <c r="D33" s="139"/>
      <c r="E33" s="139"/>
      <c r="F33" s="139"/>
      <c r="G33" s="139"/>
    </row>
  </sheetData>
  <mergeCells count="2">
    <mergeCell ref="A4:G4"/>
    <mergeCell ref="A3:G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Plan215"/>
  <dimension ref="A1:H15"/>
  <sheetViews>
    <sheetView showGridLines="0" workbookViewId="0">
      <selection activeCell="H2" sqref="H2"/>
    </sheetView>
  </sheetViews>
  <sheetFormatPr defaultRowHeight="15" x14ac:dyDescent="0.25"/>
  <cols>
    <col min="5" max="5" width="13.28515625" bestFit="1" customWidth="1"/>
  </cols>
  <sheetData>
    <row r="1" spans="1:8" x14ac:dyDescent="0.25">
      <c r="C1" s="78"/>
      <c r="D1" s="78"/>
      <c r="E1" s="78"/>
      <c r="G1" s="78" t="s">
        <v>1424</v>
      </c>
      <c r="H1" s="78" t="s">
        <v>1425</v>
      </c>
    </row>
    <row r="3" spans="1:8" x14ac:dyDescent="0.25">
      <c r="A3" s="350" t="str">
        <f>"Tabela Referente à "&amp;G1</f>
        <v>Tabela Referente à Figura 7.45</v>
      </c>
      <c r="B3" s="350"/>
      <c r="C3" s="350"/>
      <c r="D3" s="350"/>
      <c r="E3" s="350"/>
      <c r="F3" s="350"/>
      <c r="G3" s="350"/>
    </row>
    <row r="4" spans="1:8" ht="15" customHeight="1" x14ac:dyDescent="0.25">
      <c r="A4" s="363" t="str">
        <f>H1</f>
        <v>RATK/CATK por empresa, 2015 a 2018</v>
      </c>
      <c r="B4" s="363"/>
      <c r="C4" s="363"/>
      <c r="D4" s="363"/>
      <c r="E4" s="363"/>
      <c r="F4" s="363"/>
      <c r="G4" s="363"/>
    </row>
    <row r="5" spans="1:8" x14ac:dyDescent="0.25">
      <c r="A5" s="86" t="str">
        <f>'Fig 7.44'!A5</f>
        <v>Ano</v>
      </c>
      <c r="B5" s="106" t="str">
        <f>'Fig 7.44'!B5</f>
        <v>Latam</v>
      </c>
      <c r="C5" s="106" t="str">
        <f>'Fig 7.44'!C5</f>
        <v>Gol</v>
      </c>
      <c r="D5" s="106" t="str">
        <f>'Fig 7.44'!D5</f>
        <v>Azul</v>
      </c>
      <c r="E5" s="106" t="str">
        <f>'Fig 7.44'!E5</f>
        <v>Avianca</v>
      </c>
      <c r="F5" s="106" t="str">
        <f>'Fig 7.44'!F5</f>
        <v>Absa</v>
      </c>
      <c r="G5" s="106" t="str">
        <f>'Fig 7.44'!G5</f>
        <v>Indústria</v>
      </c>
    </row>
    <row r="6" spans="1:8" x14ac:dyDescent="0.25">
      <c r="A6" s="92" t="str">
        <f>'Fig 7.44'!A6</f>
        <v>2009</v>
      </c>
      <c r="B6" s="102">
        <f>'Fig 7.44'!B6</f>
        <v>0.91340916948286688</v>
      </c>
      <c r="C6" s="102">
        <f>'Fig 7.44'!C6</f>
        <v>1.0525997677172565</v>
      </c>
      <c r="D6" s="102">
        <f>'Fig 7.44'!D6</f>
        <v>0.73155182500240712</v>
      </c>
      <c r="E6" s="102">
        <f>'Fig 7.44'!E6</f>
        <v>0.85399451773151847</v>
      </c>
      <c r="F6" s="102">
        <f>'Fig 7.44'!F6</f>
        <v>1.0506218426429381</v>
      </c>
      <c r="G6" s="102">
        <f>'Fig 7.44'!G6</f>
        <v>0.95417485629710852</v>
      </c>
    </row>
    <row r="7" spans="1:8" x14ac:dyDescent="0.25">
      <c r="A7" s="93" t="str">
        <f>'Fig 7.44'!A7</f>
        <v>2010</v>
      </c>
      <c r="B7" s="103">
        <f>'Fig 7.44'!B7</f>
        <v>0.95632288577934821</v>
      </c>
      <c r="C7" s="103">
        <f>'Fig 7.44'!C7</f>
        <v>1.0946193091542982</v>
      </c>
      <c r="D7" s="103">
        <f>'Fig 7.44'!D7</f>
        <v>0.94368130596024435</v>
      </c>
      <c r="E7" s="103">
        <f>'Fig 7.44'!E7</f>
        <v>0.90535526773081865</v>
      </c>
      <c r="F7" s="103">
        <f>'Fig 7.44'!F7</f>
        <v>0.96519023916408153</v>
      </c>
      <c r="G7" s="103">
        <f>'Fig 7.44'!G7</f>
        <v>1.0051939714493292</v>
      </c>
    </row>
    <row r="8" spans="1:8" x14ac:dyDescent="0.25">
      <c r="A8" s="92" t="str">
        <f>'Fig 7.44'!A8</f>
        <v>2011</v>
      </c>
      <c r="B8" s="102">
        <f>'Fig 7.44'!B8</f>
        <v>0.96250361949523777</v>
      </c>
      <c r="C8" s="102">
        <f>'Fig 7.44'!C8</f>
        <v>0.96831470694237975</v>
      </c>
      <c r="D8" s="102">
        <f>'Fig 7.44'!D8</f>
        <v>1.0118912562994855</v>
      </c>
      <c r="E8" s="102">
        <f>'Fig 7.44'!E8</f>
        <v>0.95374163386753985</v>
      </c>
      <c r="F8" s="102">
        <f>'Fig 7.44'!F8</f>
        <v>0.94613492908015273</v>
      </c>
      <c r="G8" s="102">
        <f>'Fig 7.44'!G8</f>
        <v>0.95771050681751524</v>
      </c>
    </row>
    <row r="9" spans="1:8" x14ac:dyDescent="0.25">
      <c r="A9" s="93" t="str">
        <f>'Fig 7.44'!A9</f>
        <v>2012</v>
      </c>
      <c r="B9" s="103">
        <f>'Fig 7.44'!B9</f>
        <v>0.8693131525030694</v>
      </c>
      <c r="C9" s="103">
        <f>'Fig 7.44'!C9</f>
        <v>0.90234260648088638</v>
      </c>
      <c r="D9" s="103">
        <f>'Fig 7.44'!D9</f>
        <v>0.98137890980715381</v>
      </c>
      <c r="E9" s="103">
        <f>'Fig 7.44'!E9</f>
        <v>0.9631117112346449</v>
      </c>
      <c r="F9" s="103">
        <f>'Fig 7.44'!F9</f>
        <v>0.95876126745510803</v>
      </c>
      <c r="G9" s="103">
        <f>'Fig 7.44'!G9</f>
        <v>0.89495013189185291</v>
      </c>
    </row>
    <row r="10" spans="1:8" x14ac:dyDescent="0.25">
      <c r="A10" s="92" t="str">
        <f>'Fig 7.44'!A10</f>
        <v>2013</v>
      </c>
      <c r="B10" s="102">
        <f>'Fig 7.44'!B10</f>
        <v>0.90781913896654054</v>
      </c>
      <c r="C10" s="102">
        <f>'Fig 7.44'!C10</f>
        <v>0.99729647952568945</v>
      </c>
      <c r="D10" s="102">
        <f>'Fig 7.44'!D10</f>
        <v>1.1023187202950138</v>
      </c>
      <c r="E10" s="102">
        <f>'Fig 7.44'!E10</f>
        <v>1.0290951096707541</v>
      </c>
      <c r="F10" s="102">
        <f>'Fig 7.44'!F10</f>
        <v>0.96653478599560805</v>
      </c>
      <c r="G10" s="102">
        <f>'Fig 7.44'!G10</f>
        <v>0.98227712168235659</v>
      </c>
    </row>
    <row r="11" spans="1:8" x14ac:dyDescent="0.25">
      <c r="A11" s="93" t="str">
        <f>'Fig 7.44'!A11</f>
        <v>2014</v>
      </c>
      <c r="B11" s="103">
        <f>'Fig 7.44'!B11</f>
        <v>0.92706349914685615</v>
      </c>
      <c r="C11" s="103">
        <f>'Fig 7.44'!C11</f>
        <v>1.0079626108118547</v>
      </c>
      <c r="D11" s="103">
        <f>'Fig 7.44'!D11</f>
        <v>1.0698790957790771</v>
      </c>
      <c r="E11" s="103">
        <f>'Fig 7.44'!E11</f>
        <v>1.0171463508029255</v>
      </c>
      <c r="F11" s="103">
        <f>'Fig 7.44'!F11</f>
        <v>0.98862067759999239</v>
      </c>
      <c r="G11" s="103">
        <f>'Fig 7.44'!G11</f>
        <v>0.98108232811027674</v>
      </c>
    </row>
    <row r="12" spans="1:8" x14ac:dyDescent="0.25">
      <c r="A12" s="92" t="str">
        <f>'Fig 7.44'!A12</f>
        <v>2015</v>
      </c>
      <c r="B12" s="102">
        <f>'Fig 7.44'!B12</f>
        <v>0.9870234876590368</v>
      </c>
      <c r="C12" s="102">
        <f>'Fig 7.44'!C12</f>
        <v>1.0033255198430782</v>
      </c>
      <c r="D12" s="102">
        <f>'Fig 7.44'!D12</f>
        <v>1.0027430523349157</v>
      </c>
      <c r="E12" s="102">
        <f>'Fig 7.44'!E12</f>
        <v>1.1137733245529162</v>
      </c>
      <c r="F12" s="102">
        <f>'Fig 7.44'!F12</f>
        <v>1.0407729027376931</v>
      </c>
      <c r="G12" s="102">
        <f>'Fig 7.44'!G12</f>
        <v>1.0073782983738311</v>
      </c>
    </row>
    <row r="13" spans="1:8" x14ac:dyDescent="0.25">
      <c r="A13" s="93" t="str">
        <f>'Fig 7.44'!A13</f>
        <v>2016</v>
      </c>
      <c r="B13" s="103">
        <f>'Fig 7.44'!B13</f>
        <v>0.97778225613524361</v>
      </c>
      <c r="C13" s="103">
        <f>'Fig 7.44'!C13</f>
        <v>1.1034609788160292</v>
      </c>
      <c r="D13" s="103">
        <f>'Fig 7.44'!D13</f>
        <v>1.0712116445521658</v>
      </c>
      <c r="E13" s="103">
        <f>'Fig 7.44'!E13</f>
        <v>1.1184794148733204</v>
      </c>
      <c r="F13" s="103">
        <f>'Fig 7.44'!F13</f>
        <v>0.98695392744119315</v>
      </c>
      <c r="G13" s="103">
        <f>'Fig 7.44'!G13</f>
        <v>1.0438216344302242</v>
      </c>
    </row>
    <row r="14" spans="1:8" x14ac:dyDescent="0.25">
      <c r="A14" s="92" t="str">
        <f>'Fig 7.44'!A14</f>
        <v>2017</v>
      </c>
      <c r="B14" s="102">
        <f>'Fig 7.44'!B14</f>
        <v>1.0639195268283752</v>
      </c>
      <c r="C14" s="102">
        <f>'Fig 7.44'!C14</f>
        <v>1.0981110807518342</v>
      </c>
      <c r="D14" s="102">
        <f>'Fig 7.44'!D14</f>
        <v>1.1631360643956965</v>
      </c>
      <c r="E14" s="102">
        <f>'Fig 7.44'!E14</f>
        <v>1.0559811526629435</v>
      </c>
      <c r="F14" s="102">
        <f>'Fig 7.44'!F14</f>
        <v>1.0327325815776554</v>
      </c>
      <c r="G14" s="102">
        <f>'Fig 7.44'!G14</f>
        <v>1.0913086577041329</v>
      </c>
    </row>
    <row r="15" spans="1:8" x14ac:dyDescent="0.25">
      <c r="A15" s="93" t="str">
        <f>'Fig 7.44'!A15</f>
        <v>2018</v>
      </c>
      <c r="B15" s="103">
        <f>'Fig 7.44'!B15</f>
        <v>0.99280872353446825</v>
      </c>
      <c r="C15" s="103">
        <f>'Fig 7.44'!C15</f>
        <v>1.063916401704941</v>
      </c>
      <c r="D15" s="103">
        <f>'Fig 7.44'!D15</f>
        <v>1.1054040754909074</v>
      </c>
      <c r="E15" s="103">
        <f>'Fig 7.44'!E15</f>
        <v>0.9628676281923424</v>
      </c>
      <c r="F15" s="103">
        <f>'Fig 7.44'!F15</f>
        <v>1.0147314465722508</v>
      </c>
      <c r="G15" s="103">
        <f>'Fig 7.44'!G15</f>
        <v>1.0308826193666099</v>
      </c>
    </row>
  </sheetData>
  <mergeCells count="2">
    <mergeCell ref="A3:G3"/>
    <mergeCell ref="A4:G4"/>
  </mergeCells>
  <pageMargins left="0.511811024" right="0.511811024" top="0.78740157499999996" bottom="0.78740157499999996" header="0.31496062000000002" footer="0.31496062000000002"/>
  <drawing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Plan216"/>
  <dimension ref="A1"/>
  <sheetViews>
    <sheetView workbookViewId="0">
      <selection activeCell="A2" sqref="A2: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161"/>
  <dimension ref="A1:H11"/>
  <sheetViews>
    <sheetView showGridLines="0" workbookViewId="0">
      <selection activeCell="F3" sqref="F3"/>
    </sheetView>
  </sheetViews>
  <sheetFormatPr defaultRowHeight="15" x14ac:dyDescent="0.25"/>
  <cols>
    <col min="1" max="1" width="18" customWidth="1"/>
    <col min="2" max="2" width="44.140625" bestFit="1" customWidth="1"/>
  </cols>
  <sheetData>
    <row r="1" spans="1:8" x14ac:dyDescent="0.25">
      <c r="C1" s="78"/>
      <c r="D1" s="78"/>
      <c r="E1" s="78"/>
      <c r="F1" s="78"/>
      <c r="G1" s="78" t="s">
        <v>1146</v>
      </c>
      <c r="H1" s="78" t="s">
        <v>1147</v>
      </c>
    </row>
    <row r="3" spans="1:8" x14ac:dyDescent="0.25">
      <c r="A3" s="350" t="str">
        <f>"Tabela Referente à "&amp;G1</f>
        <v>Tabela Referente à Figura 2.12</v>
      </c>
      <c r="B3" s="350"/>
    </row>
    <row r="4" spans="1:8" ht="31.5" customHeight="1" x14ac:dyDescent="0.25">
      <c r="A4" s="351" t="str">
        <f>H1</f>
        <v>Quantidade de decolagens por mil de habitantes por região – mercado doméstico, 2018</v>
      </c>
      <c r="B4" s="351"/>
    </row>
    <row r="5" spans="1:8" x14ac:dyDescent="0.25">
      <c r="A5" s="1" t="s">
        <v>66</v>
      </c>
      <c r="B5" s="21" t="s">
        <v>449</v>
      </c>
    </row>
    <row r="6" spans="1:8" x14ac:dyDescent="0.25">
      <c r="A6" s="27" t="s">
        <v>69</v>
      </c>
      <c r="B6" s="4">
        <f>(VLOOKUP($A6,'Fig 2.11'!$A$5:$B$10,2,0))/(VLOOKUP($A6,'IBGE POP PIB'!$A$2:$C$7,2,0)/10^3)</f>
        <v>6.6653199719549887</v>
      </c>
    </row>
    <row r="7" spans="1:8" x14ac:dyDescent="0.25">
      <c r="A7" s="28" t="s">
        <v>67</v>
      </c>
      <c r="B7" s="5">
        <f>(VLOOKUP($A7,'Fig 2.11'!$A$5:$B$10,2,0))/(VLOOKUP($A7,'IBGE POP PIB'!$A$2:$C$7,2,0)/10^3)</f>
        <v>2.4922730940821261</v>
      </c>
    </row>
    <row r="8" spans="1:8" x14ac:dyDescent="0.25">
      <c r="A8" s="27" t="s">
        <v>70</v>
      </c>
      <c r="B8" s="4">
        <f>(VLOOKUP($A8,'Fig 2.11'!$A$5:$B$10,2,0))/(VLOOKUP($A8,'IBGE POP PIB'!$A$2:$C$7,2,0)/10^3)</f>
        <v>2.7456204354534162</v>
      </c>
    </row>
    <row r="9" spans="1:8" x14ac:dyDescent="0.25">
      <c r="A9" s="28" t="s">
        <v>65</v>
      </c>
      <c r="B9" s="5">
        <f>(VLOOKUP($A9,'Fig 2.11'!$A$5:$B$10,2,0))/(VLOOKUP($A9,'IBGE POP PIB'!$A$2:$C$7,2,0)/10^3)</f>
        <v>4.7066974826392176</v>
      </c>
    </row>
    <row r="10" spans="1:8" x14ac:dyDescent="0.25">
      <c r="A10" s="27" t="s">
        <v>68</v>
      </c>
      <c r="B10" s="4">
        <f>(VLOOKUP($A10,'Fig 2.11'!$A$5:$B$10,2,0))/(VLOOKUP($A10,'IBGE POP PIB'!$A$2:$C$7,2,0)/10^3)</f>
        <v>3.672092796384733</v>
      </c>
    </row>
    <row r="11" spans="1:8" x14ac:dyDescent="0.25">
      <c r="A11" s="1"/>
      <c r="B11" s="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4"/>
  <dimension ref="A1:H17"/>
  <sheetViews>
    <sheetView showGridLines="0" workbookViewId="0">
      <selection activeCell="D1" sqref="D1"/>
    </sheetView>
  </sheetViews>
  <sheetFormatPr defaultRowHeight="15" x14ac:dyDescent="0.25"/>
  <cols>
    <col min="1" max="1" width="17.7109375" customWidth="1"/>
    <col min="2" max="2" width="48.5703125" customWidth="1"/>
  </cols>
  <sheetData>
    <row r="1" spans="1:8" x14ac:dyDescent="0.25">
      <c r="B1" s="78"/>
      <c r="C1" s="78"/>
      <c r="D1" s="78"/>
      <c r="E1" s="78"/>
      <c r="F1" s="78" t="s">
        <v>261</v>
      </c>
      <c r="G1" s="78" t="s">
        <v>1148</v>
      </c>
      <c r="H1" s="78" t="s">
        <v>1149</v>
      </c>
    </row>
    <row r="3" spans="1:8" x14ac:dyDescent="0.25">
      <c r="A3" s="350" t="str">
        <f>"Tabela Referente à "&amp;G1</f>
        <v>Tabela Referente à Figura 2.13</v>
      </c>
      <c r="B3" s="350"/>
    </row>
    <row r="4" spans="1:8" ht="29.25" customHeight="1" x14ac:dyDescent="0.25">
      <c r="A4" s="351" t="str">
        <f>H1</f>
        <v>Variação no número de decolagens por região com relação ao ano anterior – mercado doméstico, 2018</v>
      </c>
      <c r="B4" s="351"/>
    </row>
    <row r="5" spans="1:8" x14ac:dyDescent="0.25">
      <c r="A5" s="1" t="s">
        <v>66</v>
      </c>
      <c r="B5" s="21" t="s">
        <v>487</v>
      </c>
      <c r="C5" s="78"/>
    </row>
    <row r="6" spans="1:8" x14ac:dyDescent="0.25">
      <c r="A6" s="27" t="s">
        <v>69</v>
      </c>
      <c r="B6" s="10">
        <f>'Fig 2.11'!C6</f>
        <v>3.3177113844952158E-2</v>
      </c>
      <c r="C6" s="175"/>
      <c r="D6" s="30"/>
      <c r="E6" s="30"/>
    </row>
    <row r="7" spans="1:8" x14ac:dyDescent="0.25">
      <c r="A7" s="28" t="s">
        <v>67</v>
      </c>
      <c r="B7" s="11">
        <f>'Fig 2.11'!C7</f>
        <v>1.0301760149534827E-2</v>
      </c>
      <c r="C7" s="175"/>
      <c r="D7" s="30"/>
      <c r="E7" s="30"/>
    </row>
    <row r="8" spans="1:8" x14ac:dyDescent="0.25">
      <c r="A8" s="27" t="s">
        <v>70</v>
      </c>
      <c r="B8" s="10">
        <f>'Fig 2.11'!C8</f>
        <v>1.0360887138138323E-2</v>
      </c>
      <c r="C8" s="175"/>
      <c r="D8" s="30"/>
      <c r="E8" s="30"/>
    </row>
    <row r="9" spans="1:8" x14ac:dyDescent="0.25">
      <c r="A9" s="28" t="s">
        <v>65</v>
      </c>
      <c r="B9" s="11">
        <f>'Fig 2.11'!C9</f>
        <v>1.3150663227160873E-2</v>
      </c>
      <c r="C9" s="175"/>
      <c r="D9" s="30"/>
      <c r="E9" s="30"/>
    </row>
    <row r="10" spans="1:8" x14ac:dyDescent="0.25">
      <c r="A10" s="27" t="s">
        <v>68</v>
      </c>
      <c r="B10" s="10">
        <f>'Fig 2.11'!C10</f>
        <v>-2.565535693015329E-3</v>
      </c>
      <c r="C10" s="175"/>
      <c r="D10" s="30"/>
      <c r="E10" s="30"/>
    </row>
    <row r="11" spans="1:8" x14ac:dyDescent="0.25">
      <c r="A11" s="1"/>
      <c r="B11" s="1"/>
      <c r="C11" s="140"/>
    </row>
    <row r="12" spans="1:8" x14ac:dyDescent="0.25">
      <c r="B12" s="78">
        <v>2013</v>
      </c>
    </row>
    <row r="13" spans="1:8" x14ac:dyDescent="0.25">
      <c r="A13" s="29"/>
      <c r="B13" s="31"/>
    </row>
    <row r="14" spans="1:8" x14ac:dyDescent="0.25">
      <c r="A14" s="29"/>
      <c r="B14" s="31"/>
    </row>
    <row r="15" spans="1:8" x14ac:dyDescent="0.25">
      <c r="A15" s="29"/>
      <c r="B15" s="31"/>
    </row>
    <row r="16" spans="1:8" x14ac:dyDescent="0.25">
      <c r="A16" s="29"/>
      <c r="B16" s="31"/>
    </row>
    <row r="17" spans="1:2" x14ac:dyDescent="0.25">
      <c r="A17" s="29"/>
      <c r="B17" s="31"/>
    </row>
  </sheetData>
  <mergeCells count="2">
    <mergeCell ref="A4:B4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5"/>
  <dimension ref="A1:H19"/>
  <sheetViews>
    <sheetView showGridLines="0" workbookViewId="0">
      <selection activeCell="B15" sqref="B15"/>
    </sheetView>
  </sheetViews>
  <sheetFormatPr defaultRowHeight="15" x14ac:dyDescent="0.25"/>
  <cols>
    <col min="1" max="1" width="20" customWidth="1"/>
    <col min="2" max="2" width="27.5703125" customWidth="1"/>
    <col min="3" max="3" width="8.42578125" customWidth="1"/>
  </cols>
  <sheetData>
    <row r="1" spans="1:8" x14ac:dyDescent="0.25">
      <c r="C1" s="78"/>
      <c r="D1" s="78"/>
      <c r="E1" s="78"/>
      <c r="F1" s="78"/>
      <c r="G1" s="78" t="s">
        <v>1150</v>
      </c>
      <c r="H1" s="78" t="s">
        <v>1151</v>
      </c>
    </row>
    <row r="3" spans="1:8" x14ac:dyDescent="0.25">
      <c r="A3" s="350" t="str">
        <f>"Tabela Referente à "&amp;G1</f>
        <v>Tabela Referente à Figura 2.14</v>
      </c>
      <c r="B3" s="350"/>
      <c r="C3" s="312"/>
      <c r="D3" s="312"/>
    </row>
    <row r="4" spans="1:8" ht="15" customHeight="1" x14ac:dyDescent="0.25">
      <c r="A4" s="351" t="str">
        <f>H1</f>
        <v>Evolução do ASK – mercado doméstico, 2009 a 2018</v>
      </c>
      <c r="B4" s="351"/>
      <c r="C4" s="312"/>
      <c r="D4" s="312"/>
    </row>
    <row r="5" spans="1:8" x14ac:dyDescent="0.25">
      <c r="A5" s="1" t="s">
        <v>20</v>
      </c>
      <c r="B5" s="21" t="s">
        <v>488</v>
      </c>
    </row>
    <row r="6" spans="1:8" x14ac:dyDescent="0.25">
      <c r="A6" s="109">
        <v>2009</v>
      </c>
      <c r="B6" s="23">
        <v>86324699412</v>
      </c>
    </row>
    <row r="7" spans="1:8" x14ac:dyDescent="0.25">
      <c r="A7" s="110">
        <v>2010</v>
      </c>
      <c r="B7" s="24">
        <v>102731429608</v>
      </c>
    </row>
    <row r="8" spans="1:8" x14ac:dyDescent="0.25">
      <c r="A8" s="109">
        <v>2011</v>
      </c>
      <c r="B8" s="23">
        <v>116095568545</v>
      </c>
    </row>
    <row r="9" spans="1:8" x14ac:dyDescent="0.25">
      <c r="A9" s="110">
        <v>2012</v>
      </c>
      <c r="B9" s="24">
        <v>119338209573</v>
      </c>
    </row>
    <row r="10" spans="1:8" x14ac:dyDescent="0.25">
      <c r="A10" s="109">
        <v>2013</v>
      </c>
      <c r="B10" s="23">
        <v>115906298170</v>
      </c>
      <c r="C10" s="78"/>
    </row>
    <row r="11" spans="1:8" x14ac:dyDescent="0.25">
      <c r="A11" s="110">
        <v>2014</v>
      </c>
      <c r="B11" s="24">
        <v>117059120662</v>
      </c>
      <c r="C11" s="78"/>
    </row>
    <row r="12" spans="1:8" x14ac:dyDescent="0.25">
      <c r="A12" s="109">
        <v>2015</v>
      </c>
      <c r="B12" s="23">
        <v>118221194986</v>
      </c>
      <c r="C12" s="78"/>
    </row>
    <row r="13" spans="1:8" x14ac:dyDescent="0.25">
      <c r="A13" s="110">
        <v>2016</v>
      </c>
      <c r="B13" s="24">
        <v>111252468687</v>
      </c>
      <c r="C13" s="78"/>
    </row>
    <row r="14" spans="1:8" x14ac:dyDescent="0.25">
      <c r="A14" s="109">
        <v>2017</v>
      </c>
      <c r="B14" s="23">
        <v>112812789597</v>
      </c>
      <c r="C14" s="155"/>
    </row>
    <row r="15" spans="1:8" x14ac:dyDescent="0.25">
      <c r="A15" s="18">
        <v>2018</v>
      </c>
      <c r="B15" s="24">
        <v>117964490479</v>
      </c>
      <c r="C15" s="155"/>
    </row>
    <row r="16" spans="1:8" x14ac:dyDescent="0.25">
      <c r="A16" s="16"/>
      <c r="B16" s="9"/>
      <c r="C16" s="78"/>
    </row>
    <row r="17" spans="2:3" x14ac:dyDescent="0.25">
      <c r="B17" s="114">
        <f>B15/B6-1</f>
        <v>0.36652072098152888</v>
      </c>
      <c r="C17" s="78" t="str">
        <f>IF(B17&gt;0,"+","")&amp;ROUND(B17*100,1)&amp;"%"</f>
        <v>+36,7%</v>
      </c>
    </row>
    <row r="18" spans="2:3" x14ac:dyDescent="0.25">
      <c r="C18" s="78"/>
    </row>
    <row r="19" spans="2:3" x14ac:dyDescent="0.25">
      <c r="C19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6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33.7109375" customWidth="1"/>
  </cols>
  <sheetData>
    <row r="1" spans="1:8" x14ac:dyDescent="0.25">
      <c r="C1" s="78"/>
      <c r="D1" s="78"/>
      <c r="E1" s="78"/>
      <c r="F1" s="78"/>
      <c r="G1" s="78" t="s">
        <v>1152</v>
      </c>
      <c r="H1" s="78" t="s">
        <v>1153</v>
      </c>
    </row>
    <row r="3" spans="1:8" x14ac:dyDescent="0.25">
      <c r="A3" s="350" t="str">
        <f>"Tabela Referente à "&amp;G1</f>
        <v>Tabela Referente à Figura 2.15</v>
      </c>
      <c r="B3" s="350"/>
    </row>
    <row r="4" spans="1:8" ht="31.5" customHeight="1" x14ac:dyDescent="0.25">
      <c r="A4" s="351" t="str">
        <f>H1</f>
        <v>Variação do ASK em relação ao ano anterior – mercado doméstico, 2009 a 2018</v>
      </c>
      <c r="B4" s="351"/>
    </row>
    <row r="5" spans="1:8" x14ac:dyDescent="0.25">
      <c r="A5" s="1" t="s">
        <v>20</v>
      </c>
      <c r="B5" s="21" t="s">
        <v>570</v>
      </c>
    </row>
    <row r="6" spans="1:8" x14ac:dyDescent="0.25">
      <c r="A6" s="17">
        <v>2009</v>
      </c>
      <c r="B6" s="10">
        <v>0.14524226718789587</v>
      </c>
    </row>
    <row r="7" spans="1:8" x14ac:dyDescent="0.25">
      <c r="A7" s="18">
        <v>2010</v>
      </c>
      <c r="B7" s="11">
        <v>0.19005835302936833</v>
      </c>
    </row>
    <row r="8" spans="1:8" x14ac:dyDescent="0.25">
      <c r="A8" s="17">
        <v>2011</v>
      </c>
      <c r="B8" s="10">
        <v>0.13008812383897064</v>
      </c>
    </row>
    <row r="9" spans="1:8" x14ac:dyDescent="0.25">
      <c r="A9" s="18">
        <v>2012</v>
      </c>
      <c r="B9" s="11">
        <v>2.7930790715264161E-2</v>
      </c>
    </row>
    <row r="10" spans="1:8" x14ac:dyDescent="0.25">
      <c r="A10" s="17">
        <v>2013</v>
      </c>
      <c r="B10" s="10">
        <v>-2.8757858989837418E-2</v>
      </c>
    </row>
    <row r="11" spans="1:8" x14ac:dyDescent="0.25">
      <c r="A11" s="18">
        <v>2014</v>
      </c>
      <c r="B11" s="11">
        <v>9.9461591837671573E-3</v>
      </c>
    </row>
    <row r="12" spans="1:8" x14ac:dyDescent="0.25">
      <c r="A12" s="17">
        <v>2015</v>
      </c>
      <c r="B12" s="10">
        <v>9.9272428959671418E-3</v>
      </c>
    </row>
    <row r="13" spans="1:8" x14ac:dyDescent="0.25">
      <c r="A13" s="18">
        <v>2016</v>
      </c>
      <c r="B13" s="11">
        <v>-5.8946505318485838E-2</v>
      </c>
    </row>
    <row r="14" spans="1:8" x14ac:dyDescent="0.25">
      <c r="A14" s="17">
        <v>2017</v>
      </c>
      <c r="B14" s="10">
        <v>1.4025045272387071E-2</v>
      </c>
    </row>
    <row r="15" spans="1:8" x14ac:dyDescent="0.25">
      <c r="A15" s="18">
        <v>2018</v>
      </c>
      <c r="B15" s="11">
        <v>4.5665929372045222E-2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27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9.28515625" customWidth="1"/>
    <col min="2" max="2" width="49.140625" customWidth="1"/>
  </cols>
  <sheetData>
    <row r="1" spans="1:8" x14ac:dyDescent="0.25">
      <c r="C1" s="78"/>
      <c r="D1" s="78"/>
      <c r="E1" s="78"/>
      <c r="F1" s="78"/>
      <c r="G1" s="78" t="s">
        <v>1154</v>
      </c>
      <c r="H1" s="78" t="s">
        <v>1155</v>
      </c>
    </row>
    <row r="3" spans="1:8" x14ac:dyDescent="0.25">
      <c r="A3" s="350" t="str">
        <f>"Tabela Referente à "&amp;G1</f>
        <v>Tabela Referente à Figura 2.16</v>
      </c>
      <c r="B3" s="350"/>
    </row>
    <row r="4" spans="1:8" ht="29.25" customHeight="1" x14ac:dyDescent="0.25">
      <c r="A4" s="351" t="str">
        <f>H1</f>
        <v>Variação no ASK com relação ao mesmo mês do ano anterior – mercado doméstico,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2.2721701465257475E-2</v>
      </c>
      <c r="C6" s="78">
        <v>1</v>
      </c>
    </row>
    <row r="7" spans="1:8" x14ac:dyDescent="0.25">
      <c r="A7" s="18" t="s">
        <v>48</v>
      </c>
      <c r="B7" s="11">
        <v>4.0462275067881442E-2</v>
      </c>
      <c r="C7" s="78">
        <v>2</v>
      </c>
    </row>
    <row r="8" spans="1:8" x14ac:dyDescent="0.25">
      <c r="A8" s="17" t="s">
        <v>49</v>
      </c>
      <c r="B8" s="10">
        <v>4.8429359963467564E-3</v>
      </c>
      <c r="C8" s="78">
        <v>3</v>
      </c>
    </row>
    <row r="9" spans="1:8" x14ac:dyDescent="0.25">
      <c r="A9" s="18" t="s">
        <v>50</v>
      </c>
      <c r="B9" s="11">
        <v>5.7750854930695088E-2</v>
      </c>
      <c r="C9" s="78">
        <v>4</v>
      </c>
    </row>
    <row r="10" spans="1:8" x14ac:dyDescent="0.25">
      <c r="A10" s="17" t="s">
        <v>51</v>
      </c>
      <c r="B10" s="10">
        <v>5.0817317779264348E-2</v>
      </c>
      <c r="C10" s="78">
        <v>5</v>
      </c>
    </row>
    <row r="11" spans="1:8" x14ac:dyDescent="0.25">
      <c r="A11" s="18" t="s">
        <v>52</v>
      </c>
      <c r="B11" s="11">
        <v>8.0997854192184165E-2</v>
      </c>
      <c r="C11" s="78">
        <v>6</v>
      </c>
    </row>
    <row r="12" spans="1:8" x14ac:dyDescent="0.25">
      <c r="A12" s="17" t="s">
        <v>53</v>
      </c>
      <c r="B12" s="10">
        <v>7.3477613223185995E-2</v>
      </c>
      <c r="C12" s="78">
        <v>7</v>
      </c>
    </row>
    <row r="13" spans="1:8" x14ac:dyDescent="0.25">
      <c r="A13" s="18" t="s">
        <v>54</v>
      </c>
      <c r="B13" s="11">
        <v>4.6640973358279214E-2</v>
      </c>
      <c r="C13" s="78">
        <v>8</v>
      </c>
    </row>
    <row r="14" spans="1:8" x14ac:dyDescent="0.25">
      <c r="A14" s="17" t="s">
        <v>55</v>
      </c>
      <c r="B14" s="10">
        <v>5.4137182063466079E-2</v>
      </c>
      <c r="C14" s="78">
        <v>9</v>
      </c>
    </row>
    <row r="15" spans="1:8" x14ac:dyDescent="0.25">
      <c r="A15" s="18" t="s">
        <v>56</v>
      </c>
      <c r="B15" s="11">
        <v>5.5635049457703083E-2</v>
      </c>
      <c r="C15" s="78">
        <v>10</v>
      </c>
    </row>
    <row r="16" spans="1:8" x14ac:dyDescent="0.25">
      <c r="A16" s="17" t="s">
        <v>57</v>
      </c>
      <c r="B16" s="10">
        <v>4.0088599967892637E-2</v>
      </c>
      <c r="C16" s="78">
        <v>11</v>
      </c>
    </row>
    <row r="17" spans="1:3" x14ac:dyDescent="0.25">
      <c r="A17" s="18" t="s">
        <v>58</v>
      </c>
      <c r="B17" s="11">
        <v>2.7087361648138037E-2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28"/>
  <dimension ref="A1:H19"/>
  <sheetViews>
    <sheetView showGridLines="0" workbookViewId="0">
      <selection activeCell="A5" sqref="A5:B11"/>
    </sheetView>
  </sheetViews>
  <sheetFormatPr defaultRowHeight="15" x14ac:dyDescent="0.25"/>
  <cols>
    <col min="1" max="1" width="11.42578125" bestFit="1" customWidth="1"/>
    <col min="2" max="2" width="35" customWidth="1"/>
    <col min="3" max="3" width="14.28515625" bestFit="1" customWidth="1"/>
  </cols>
  <sheetData>
    <row r="1" spans="1:8" x14ac:dyDescent="0.25">
      <c r="C1" s="78"/>
      <c r="D1" s="78"/>
      <c r="E1" s="78"/>
      <c r="F1" s="78"/>
      <c r="G1" s="78" t="s">
        <v>1156</v>
      </c>
      <c r="H1" s="78" t="s">
        <v>1157</v>
      </c>
    </row>
    <row r="3" spans="1:8" x14ac:dyDescent="0.25">
      <c r="A3" s="350" t="str">
        <f>"Tabela Referente à "&amp;G1</f>
        <v>Tabela Referente à Figura 2.17</v>
      </c>
      <c r="B3" s="350"/>
    </row>
    <row r="4" spans="1:8" ht="33" customHeight="1" x14ac:dyDescent="0.25">
      <c r="A4" s="351" t="str">
        <f>H1</f>
        <v>Participação das quatro maiores empresas no ASK – mercado doméstico, 2018</v>
      </c>
      <c r="B4" s="351"/>
    </row>
    <row r="5" spans="1:8" x14ac:dyDescent="0.25">
      <c r="A5" s="1" t="s">
        <v>7</v>
      </c>
      <c r="B5" s="21" t="s">
        <v>826</v>
      </c>
    </row>
    <row r="6" spans="1:8" x14ac:dyDescent="0.25">
      <c r="A6" s="27" t="s">
        <v>59</v>
      </c>
      <c r="B6" s="7">
        <v>42427773129</v>
      </c>
      <c r="C6" s="194"/>
    </row>
    <row r="7" spans="1:8" x14ac:dyDescent="0.25">
      <c r="A7" s="28" t="s">
        <v>526</v>
      </c>
      <c r="B7" s="8">
        <v>37633204005</v>
      </c>
      <c r="C7" s="78"/>
    </row>
    <row r="8" spans="1:8" x14ac:dyDescent="0.25">
      <c r="A8" s="27" t="s">
        <v>60</v>
      </c>
      <c r="B8" s="7">
        <v>22102336411</v>
      </c>
      <c r="C8" s="195"/>
    </row>
    <row r="9" spans="1:8" x14ac:dyDescent="0.25">
      <c r="A9" s="28" t="s">
        <v>61</v>
      </c>
      <c r="B9" s="8">
        <v>15185076926</v>
      </c>
      <c r="C9" s="78"/>
    </row>
    <row r="10" spans="1:8" x14ac:dyDescent="0.25">
      <c r="A10" s="27" t="s">
        <v>6</v>
      </c>
      <c r="B10" s="7">
        <v>616100008</v>
      </c>
      <c r="C10" s="78"/>
    </row>
    <row r="11" spans="1:8" x14ac:dyDescent="0.25">
      <c r="A11" s="1" t="s">
        <v>10</v>
      </c>
      <c r="B11" s="39">
        <v>117964490479</v>
      </c>
      <c r="C11" s="145"/>
    </row>
    <row r="13" spans="1:8" x14ac:dyDescent="0.25">
      <c r="B13" s="33"/>
      <c r="C13" s="182"/>
    </row>
    <row r="14" spans="1:8" x14ac:dyDescent="0.25">
      <c r="B14" s="33"/>
    </row>
    <row r="15" spans="1:8" x14ac:dyDescent="0.25">
      <c r="B15" s="33"/>
    </row>
    <row r="16" spans="1:8" x14ac:dyDescent="0.25">
      <c r="B16" s="11"/>
    </row>
    <row r="19" spans="6:6" x14ac:dyDescent="0.25">
      <c r="F19" s="1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H12"/>
  <sheetViews>
    <sheetView showGridLines="0" topLeftCell="A4" workbookViewId="0">
      <selection activeCell="J14" sqref="J14"/>
    </sheetView>
  </sheetViews>
  <sheetFormatPr defaultRowHeight="15" x14ac:dyDescent="0.25"/>
  <cols>
    <col min="1" max="1" width="31.5703125" bestFit="1" customWidth="1"/>
    <col min="2" max="2" width="14.5703125" customWidth="1"/>
  </cols>
  <sheetData>
    <row r="1" spans="1:8" x14ac:dyDescent="0.25">
      <c r="C1" s="78"/>
      <c r="D1" s="78"/>
      <c r="E1" s="78"/>
      <c r="F1" s="78"/>
      <c r="G1" s="78" t="s">
        <v>1121</v>
      </c>
      <c r="H1" s="78" t="s">
        <v>1122</v>
      </c>
    </row>
    <row r="3" spans="1:8" x14ac:dyDescent="0.25">
      <c r="A3" s="350" t="str">
        <f>"Tabela Referente à "&amp;G1</f>
        <v>Tabela Referente à Figura 1.2</v>
      </c>
      <c r="B3" s="350"/>
    </row>
    <row r="4" spans="1:8" ht="31.5" customHeight="1" x14ac:dyDescent="0.25">
      <c r="A4" s="351" t="str">
        <f>H1</f>
        <v>Proporção de empregados por categoria – empresas aéreas brasileiras, 2018</v>
      </c>
      <c r="B4" s="351"/>
    </row>
    <row r="5" spans="1:8" x14ac:dyDescent="0.25">
      <c r="A5" s="1" t="s">
        <v>2</v>
      </c>
      <c r="B5" s="13" t="s">
        <v>446</v>
      </c>
    </row>
    <row r="6" spans="1:8" x14ac:dyDescent="0.25">
      <c r="A6" s="3" t="s">
        <v>5</v>
      </c>
      <c r="B6" s="10">
        <v>0.12237046920169002</v>
      </c>
    </row>
    <row r="7" spans="1:8" x14ac:dyDescent="0.25">
      <c r="A7" s="2" t="s">
        <v>429</v>
      </c>
      <c r="B7" s="11">
        <v>4.2250389148321105E-4</v>
      </c>
    </row>
    <row r="8" spans="1:8" x14ac:dyDescent="0.25">
      <c r="A8" s="3" t="s">
        <v>719</v>
      </c>
      <c r="B8" s="10">
        <v>0.22412719590838337</v>
      </c>
    </row>
    <row r="9" spans="1:8" x14ac:dyDescent="0.25">
      <c r="A9" s="2" t="s">
        <v>430</v>
      </c>
      <c r="B9" s="11">
        <v>0.15723815877251501</v>
      </c>
    </row>
    <row r="10" spans="1:8" x14ac:dyDescent="0.25">
      <c r="A10" s="3" t="s">
        <v>431</v>
      </c>
      <c r="B10" s="10">
        <v>0.20148988214365132</v>
      </c>
    </row>
    <row r="11" spans="1:8" x14ac:dyDescent="0.25">
      <c r="A11" s="2" t="s">
        <v>63</v>
      </c>
      <c r="B11" s="11">
        <v>0.29435179008227708</v>
      </c>
    </row>
    <row r="12" spans="1:8" x14ac:dyDescent="0.25">
      <c r="A12" s="16" t="s">
        <v>9</v>
      </c>
      <c r="B12" s="12">
        <v>0.99999999999999989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29"/>
  <dimension ref="A1:H11"/>
  <sheetViews>
    <sheetView showGridLines="0" workbookViewId="0">
      <selection activeCell="A5" sqref="A5:B11"/>
    </sheetView>
  </sheetViews>
  <sheetFormatPr defaultRowHeight="15" x14ac:dyDescent="0.25"/>
  <cols>
    <col min="1" max="1" width="11.42578125" bestFit="1" customWidth="1"/>
    <col min="2" max="2" width="31.42578125" customWidth="1"/>
  </cols>
  <sheetData>
    <row r="1" spans="1:8" x14ac:dyDescent="0.25">
      <c r="C1" s="78"/>
      <c r="D1" s="78"/>
      <c r="E1" s="78"/>
      <c r="F1" s="78"/>
      <c r="G1" s="78" t="s">
        <v>1158</v>
      </c>
      <c r="H1" s="78" t="s">
        <v>1159</v>
      </c>
    </row>
    <row r="3" spans="1:8" x14ac:dyDescent="0.25">
      <c r="A3" s="350" t="str">
        <f>"Tabela Referente à "&amp;G1</f>
        <v>Tabela Referente à Figura 2.18</v>
      </c>
      <c r="B3" s="350"/>
    </row>
    <row r="4" spans="1:8" ht="30.75" customHeight="1" x14ac:dyDescent="0.25">
      <c r="A4" s="351" t="str">
        <f>H1</f>
        <v>Variação do ASK com relação ao ano anterior por empresa – mercado doméstico, 2018</v>
      </c>
      <c r="B4" s="351"/>
    </row>
    <row r="5" spans="1:8" x14ac:dyDescent="0.25">
      <c r="A5" s="1" t="s">
        <v>7</v>
      </c>
      <c r="B5" s="21" t="s">
        <v>826</v>
      </c>
    </row>
    <row r="6" spans="1:8" x14ac:dyDescent="0.25">
      <c r="A6" s="27" t="s">
        <v>61</v>
      </c>
      <c r="B6" s="10">
        <v>8.9459049646557487E-2</v>
      </c>
      <c r="C6" s="78" t="s">
        <v>372</v>
      </c>
    </row>
    <row r="7" spans="1:8" x14ac:dyDescent="0.25">
      <c r="A7" s="28" t="s">
        <v>60</v>
      </c>
      <c r="B7" s="11">
        <v>8.2649895117695715E-2</v>
      </c>
      <c r="C7" s="78" t="s">
        <v>526</v>
      </c>
    </row>
    <row r="8" spans="1:8" x14ac:dyDescent="0.25">
      <c r="A8" s="27" t="s">
        <v>526</v>
      </c>
      <c r="B8" s="10">
        <v>3.7218869790772047E-2</v>
      </c>
      <c r="C8" s="78" t="s">
        <v>375</v>
      </c>
    </row>
    <row r="9" spans="1:8" x14ac:dyDescent="0.25">
      <c r="A9" s="28" t="s">
        <v>59</v>
      </c>
      <c r="B9" s="11">
        <v>2.3246860655990353E-2</v>
      </c>
      <c r="C9" s="78" t="s">
        <v>373</v>
      </c>
    </row>
    <row r="10" spans="1:8" x14ac:dyDescent="0.25">
      <c r="A10" s="27" t="s">
        <v>6</v>
      </c>
      <c r="B10" s="10">
        <v>-0.13579023597894646</v>
      </c>
      <c r="C10" s="78" t="s">
        <v>374</v>
      </c>
    </row>
    <row r="11" spans="1:8" x14ac:dyDescent="0.25">
      <c r="A11" s="1" t="s">
        <v>10</v>
      </c>
      <c r="B11" s="170">
        <v>4.5665929372045166E-2</v>
      </c>
      <c r="C11" s="78" t="s">
        <v>377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30"/>
  <dimension ref="A1:Q19"/>
  <sheetViews>
    <sheetView showGridLines="0" workbookViewId="0">
      <selection activeCell="A4" sqref="A4:C4"/>
    </sheetView>
  </sheetViews>
  <sheetFormatPr defaultRowHeight="15" x14ac:dyDescent="0.25"/>
  <cols>
    <col min="1" max="1" width="9.28515625" customWidth="1"/>
    <col min="2" max="2" width="23.28515625" bestFit="1" customWidth="1"/>
    <col min="3" max="3" width="22.85546875" bestFit="1" customWidth="1"/>
  </cols>
  <sheetData>
    <row r="1" spans="1:17" x14ac:dyDescent="0.25">
      <c r="C1" s="78"/>
      <c r="D1" s="78"/>
      <c r="E1" s="78"/>
      <c r="F1" s="78"/>
      <c r="G1" s="78" t="s">
        <v>1160</v>
      </c>
      <c r="H1" s="78" t="s">
        <v>1161</v>
      </c>
    </row>
    <row r="3" spans="1:17" x14ac:dyDescent="0.25">
      <c r="A3" s="350" t="str">
        <f>"Tabela Referente à "&amp;G1</f>
        <v>Tabela Referente à Figura 2.19</v>
      </c>
      <c r="B3" s="350"/>
      <c r="C3" s="350"/>
    </row>
    <row r="4" spans="1:17" ht="33" customHeight="1" x14ac:dyDescent="0.25">
      <c r="A4" s="351" t="str">
        <f>H1</f>
        <v>Variação no ASK com relação ao mesmo mês do ano anterior – Latam e Gol – mercado doméstico, 2018</v>
      </c>
      <c r="B4" s="351"/>
      <c r="C4" s="351"/>
    </row>
    <row r="5" spans="1:17" x14ac:dyDescent="0.25">
      <c r="A5" s="1" t="s">
        <v>20</v>
      </c>
      <c r="B5" s="21" t="s">
        <v>392</v>
      </c>
      <c r="C5" s="21" t="s">
        <v>564</v>
      </c>
    </row>
    <row r="6" spans="1:17" x14ac:dyDescent="0.25">
      <c r="A6" s="17" t="s">
        <v>47</v>
      </c>
      <c r="B6" s="10">
        <v>2.2207664851915478E-2</v>
      </c>
      <c r="C6" s="10">
        <v>2.5783352023718603E-3</v>
      </c>
      <c r="D6" s="78">
        <v>1</v>
      </c>
    </row>
    <row r="7" spans="1:17" x14ac:dyDescent="0.25">
      <c r="A7" s="18" t="s">
        <v>48</v>
      </c>
      <c r="B7" s="11">
        <v>3.1424296490138455E-2</v>
      </c>
      <c r="C7" s="11">
        <v>4.8225869602264229E-2</v>
      </c>
      <c r="D7" s="78">
        <v>2</v>
      </c>
    </row>
    <row r="8" spans="1:17" x14ac:dyDescent="0.25">
      <c r="A8" s="17" t="s">
        <v>49</v>
      </c>
      <c r="B8" s="10">
        <v>-2.9828003944591775E-2</v>
      </c>
      <c r="C8" s="10">
        <v>1.7986508711310238E-2</v>
      </c>
      <c r="D8" s="78">
        <v>3</v>
      </c>
    </row>
    <row r="9" spans="1:17" x14ac:dyDescent="0.25">
      <c r="A9" s="18" t="s">
        <v>50</v>
      </c>
      <c r="B9" s="11">
        <v>1.3458626306608212E-2</v>
      </c>
      <c r="C9" s="11">
        <v>4.1011459201374362E-2</v>
      </c>
      <c r="D9" s="78">
        <v>4</v>
      </c>
      <c r="E9" s="29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x14ac:dyDescent="0.25">
      <c r="A10" s="17" t="s">
        <v>51</v>
      </c>
      <c r="B10" s="10">
        <v>1.534654651352909E-2</v>
      </c>
      <c r="C10" s="10">
        <v>7.1536536154425123E-2</v>
      </c>
      <c r="D10" s="78">
        <v>5</v>
      </c>
      <c r="E10" s="29"/>
      <c r="F10" s="31"/>
      <c r="G10" s="31"/>
      <c r="H10" s="31"/>
      <c r="I10" s="31"/>
      <c r="L10" s="31"/>
      <c r="M10" s="31"/>
      <c r="N10" s="31"/>
      <c r="O10" s="31"/>
      <c r="P10" s="31"/>
      <c r="Q10" s="31"/>
    </row>
    <row r="11" spans="1:17" x14ac:dyDescent="0.25">
      <c r="A11" s="18" t="s">
        <v>52</v>
      </c>
      <c r="B11" s="11">
        <v>6.6105575976239547E-2</v>
      </c>
      <c r="C11" s="11">
        <v>6.850252353163265E-2</v>
      </c>
      <c r="D11" s="78">
        <v>6</v>
      </c>
    </row>
    <row r="12" spans="1:17" x14ac:dyDescent="0.25">
      <c r="A12" s="17" t="s">
        <v>53</v>
      </c>
      <c r="B12" s="10">
        <v>9.4802046325860173E-2</v>
      </c>
      <c r="C12" s="10">
        <v>2.7993790983093822E-3</v>
      </c>
      <c r="D12" s="78">
        <v>7</v>
      </c>
    </row>
    <row r="13" spans="1:17" x14ac:dyDescent="0.25">
      <c r="A13" s="18" t="s">
        <v>54</v>
      </c>
      <c r="B13" s="11">
        <v>2.733209809998258E-2</v>
      </c>
      <c r="C13" s="11">
        <v>1.9901091722869333E-2</v>
      </c>
      <c r="D13" s="78">
        <v>8</v>
      </c>
    </row>
    <row r="14" spans="1:17" x14ac:dyDescent="0.25">
      <c r="A14" s="17" t="s">
        <v>55</v>
      </c>
      <c r="B14" s="10">
        <v>2.371936589101133E-2</v>
      </c>
      <c r="C14" s="10">
        <v>5.3917130931227089E-2</v>
      </c>
      <c r="D14" s="78">
        <v>9</v>
      </c>
    </row>
    <row r="15" spans="1:17" x14ac:dyDescent="0.25">
      <c r="A15" s="18" t="s">
        <v>56</v>
      </c>
      <c r="B15" s="11">
        <v>-5.6540241791794863E-4</v>
      </c>
      <c r="C15" s="11">
        <v>6.7312483388313471E-2</v>
      </c>
      <c r="D15" s="78">
        <v>10</v>
      </c>
    </row>
    <row r="16" spans="1:17" x14ac:dyDescent="0.25">
      <c r="A16" s="17" t="s">
        <v>57</v>
      </c>
      <c r="B16" s="10">
        <v>1.0574820743064916E-2</v>
      </c>
      <c r="C16" s="10">
        <v>4.8373426655254535E-2</v>
      </c>
      <c r="D16" s="78">
        <v>11</v>
      </c>
    </row>
    <row r="17" spans="1:4" x14ac:dyDescent="0.25">
      <c r="A17" s="18" t="s">
        <v>58</v>
      </c>
      <c r="B17" s="11">
        <v>1.0757535230246044E-3</v>
      </c>
      <c r="C17" s="11">
        <v>1.8807807508952074E-2</v>
      </c>
      <c r="D17" s="78">
        <v>12</v>
      </c>
    </row>
    <row r="18" spans="1:4" x14ac:dyDescent="0.25">
      <c r="A18" s="1"/>
      <c r="B18" s="21"/>
      <c r="C18" s="21"/>
    </row>
    <row r="19" spans="1:4" x14ac:dyDescent="0.25">
      <c r="B19" s="78" t="s">
        <v>59</v>
      </c>
      <c r="C19" s="78" t="s">
        <v>526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31"/>
  <dimension ref="A1:H19"/>
  <sheetViews>
    <sheetView showGridLines="0" workbookViewId="0">
      <selection activeCell="A5" sqref="A5:C17"/>
    </sheetView>
  </sheetViews>
  <sheetFormatPr defaultRowHeight="15" x14ac:dyDescent="0.25"/>
  <cols>
    <col min="1" max="1" width="9.28515625" customWidth="1"/>
    <col min="2" max="2" width="23" bestFit="1" customWidth="1"/>
    <col min="3" max="3" width="26.140625" bestFit="1" customWidth="1"/>
    <col min="6" max="6" width="11.140625" customWidth="1"/>
  </cols>
  <sheetData>
    <row r="1" spans="1:8" x14ac:dyDescent="0.25">
      <c r="C1" s="78"/>
      <c r="D1" s="78"/>
      <c r="E1" s="78"/>
      <c r="F1" s="78" t="s">
        <v>270</v>
      </c>
      <c r="G1" s="78" t="s">
        <v>1162</v>
      </c>
      <c r="H1" s="78" t="s">
        <v>1163</v>
      </c>
    </row>
    <row r="3" spans="1:8" x14ac:dyDescent="0.25">
      <c r="A3" s="350" t="str">
        <f>"Tabela Referente à "&amp;F1</f>
        <v>Tabela Referente à Figura 3.24</v>
      </c>
      <c r="B3" s="350"/>
      <c r="C3" s="350"/>
    </row>
    <row r="4" spans="1:8" ht="31.5" customHeight="1" x14ac:dyDescent="0.25">
      <c r="A4" s="351" t="str">
        <f>H1</f>
        <v>Variação no ASK com relação ao mesmo mês do ano anterior – Azul, Avianca – mercado doméstico, 2018</v>
      </c>
      <c r="B4" s="351"/>
      <c r="C4" s="351"/>
    </row>
    <row r="5" spans="1:8" x14ac:dyDescent="0.25">
      <c r="A5" s="1" t="s">
        <v>20</v>
      </c>
      <c r="B5" s="21" t="s">
        <v>71</v>
      </c>
      <c r="C5" s="21" t="s">
        <v>72</v>
      </c>
    </row>
    <row r="6" spans="1:8" x14ac:dyDescent="0.25">
      <c r="A6" s="17" t="s">
        <v>47</v>
      </c>
      <c r="B6" s="10">
        <v>1.835140220687358E-2</v>
      </c>
      <c r="C6" s="10">
        <v>0.10021265829955078</v>
      </c>
    </row>
    <row r="7" spans="1:8" x14ac:dyDescent="0.25">
      <c r="A7" s="18" t="s">
        <v>48</v>
      </c>
      <c r="B7" s="11">
        <v>1.8675820606287179E-2</v>
      </c>
      <c r="C7" s="11">
        <v>9.5109344025100115E-2</v>
      </c>
    </row>
    <row r="8" spans="1:8" x14ac:dyDescent="0.25">
      <c r="A8" s="17" t="s">
        <v>49</v>
      </c>
      <c r="B8" s="10">
        <v>-1.7447253707742232E-2</v>
      </c>
      <c r="C8" s="10">
        <v>0.12366823385526352</v>
      </c>
    </row>
    <row r="9" spans="1:8" x14ac:dyDescent="0.25">
      <c r="A9" s="18" t="s">
        <v>50</v>
      </c>
      <c r="B9" s="11">
        <v>6.9281452454016124E-2</v>
      </c>
      <c r="C9" s="11">
        <v>0.22738900292479994</v>
      </c>
    </row>
    <row r="10" spans="1:8" x14ac:dyDescent="0.25">
      <c r="A10" s="17" t="s">
        <v>51</v>
      </c>
      <c r="B10" s="10">
        <v>2.5683704364489041E-2</v>
      </c>
      <c r="C10" s="10">
        <v>0.14559013157784922</v>
      </c>
    </row>
    <row r="11" spans="1:8" x14ac:dyDescent="0.25">
      <c r="A11" s="18" t="s">
        <v>52</v>
      </c>
      <c r="B11" s="11">
        <v>0.11670376901130448</v>
      </c>
      <c r="C11" s="11">
        <v>0.1098556505789559</v>
      </c>
    </row>
    <row r="12" spans="1:8" x14ac:dyDescent="0.25">
      <c r="A12" s="17" t="s">
        <v>53</v>
      </c>
      <c r="B12" s="10">
        <v>0.15781582126371463</v>
      </c>
      <c r="C12" s="10">
        <v>7.7861948565570521E-2</v>
      </c>
    </row>
    <row r="13" spans="1:8" x14ac:dyDescent="0.25">
      <c r="A13" s="18" t="s">
        <v>54</v>
      </c>
      <c r="B13" s="11">
        <v>0.12506196431350575</v>
      </c>
      <c r="C13" s="11">
        <v>6.9275285248325574E-2</v>
      </c>
    </row>
    <row r="14" spans="1:8" x14ac:dyDescent="0.25">
      <c r="A14" s="17" t="s">
        <v>55</v>
      </c>
      <c r="B14" s="10">
        <v>0.1058708495092761</v>
      </c>
      <c r="C14" s="10">
        <v>7.5901158565877924E-2</v>
      </c>
    </row>
    <row r="15" spans="1:8" x14ac:dyDescent="0.25">
      <c r="A15" s="18" t="s">
        <v>56</v>
      </c>
      <c r="B15" s="11">
        <v>0.14630684073466593</v>
      </c>
      <c r="C15" s="11">
        <v>7.0334953842304065E-2</v>
      </c>
    </row>
    <row r="16" spans="1:8" x14ac:dyDescent="0.25">
      <c r="A16" s="17" t="s">
        <v>57</v>
      </c>
      <c r="B16" s="10">
        <v>0.1078509190620798</v>
      </c>
      <c r="C16" s="10">
        <v>2.012815756441716E-2</v>
      </c>
    </row>
    <row r="17" spans="1:3" x14ac:dyDescent="0.25">
      <c r="A17" s="18" t="s">
        <v>58</v>
      </c>
      <c r="B17" s="11">
        <v>0.12863276977549765</v>
      </c>
      <c r="C17" s="11">
        <v>-1.1424087199376728E-2</v>
      </c>
    </row>
    <row r="18" spans="1:3" x14ac:dyDescent="0.25">
      <c r="A18" s="1"/>
      <c r="B18" s="21"/>
      <c r="C18" s="21"/>
    </row>
    <row r="19" spans="1:3" x14ac:dyDescent="0.25">
      <c r="B19" s="78" t="s">
        <v>60</v>
      </c>
      <c r="C19" s="78" t="s">
        <v>61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32"/>
  <dimension ref="A1:M33"/>
  <sheetViews>
    <sheetView showGridLines="0" workbookViewId="0">
      <selection activeCell="E9" sqref="E9"/>
    </sheetView>
  </sheetViews>
  <sheetFormatPr defaultRowHeight="15" x14ac:dyDescent="0.25"/>
  <cols>
    <col min="1" max="1" width="21" bestFit="1" customWidth="1"/>
    <col min="2" max="3" width="10.5703125" customWidth="1"/>
    <col min="4" max="4" width="10.5703125" style="140" customWidth="1"/>
    <col min="5" max="11" width="10.5703125" customWidth="1"/>
  </cols>
  <sheetData>
    <row r="1" spans="1:13" x14ac:dyDescent="0.25">
      <c r="C1" s="78"/>
      <c r="E1" s="78"/>
      <c r="F1" s="78"/>
      <c r="G1" s="78" t="s">
        <v>1164</v>
      </c>
      <c r="H1" s="78" t="s">
        <v>1433</v>
      </c>
    </row>
    <row r="3" spans="1:13" x14ac:dyDescent="0.25">
      <c r="A3" s="350" t="str">
        <f>"Tabela Referente à "&amp;G1</f>
        <v>Tabela Referente à Figura 2.21</v>
      </c>
      <c r="B3" s="350"/>
      <c r="C3" s="350"/>
      <c r="D3" s="314"/>
      <c r="E3" s="162"/>
      <c r="F3" s="162"/>
      <c r="G3" s="162"/>
      <c r="H3" s="162"/>
      <c r="I3" s="162"/>
      <c r="J3" s="162"/>
      <c r="K3" s="162"/>
    </row>
    <row r="4" spans="1:13" ht="28.5" customHeight="1" x14ac:dyDescent="0.25">
      <c r="A4" s="352" t="str">
        <f>H1</f>
        <v>Quantidade de aeroportos com mais de 52 voos domésticos regulares no ano por unidade da federação, 2018</v>
      </c>
      <c r="B4" s="352"/>
      <c r="C4" s="352"/>
      <c r="D4" s="314"/>
      <c r="E4" s="162"/>
      <c r="F4" s="162"/>
      <c r="G4" s="162"/>
      <c r="H4" s="162"/>
      <c r="I4" s="162"/>
      <c r="J4" s="162"/>
      <c r="K4" s="162"/>
    </row>
    <row r="5" spans="1:13" x14ac:dyDescent="0.25">
      <c r="A5" s="1" t="s">
        <v>73</v>
      </c>
      <c r="B5" s="21">
        <v>2018</v>
      </c>
      <c r="C5" s="21">
        <v>2017</v>
      </c>
      <c r="D5" s="78" t="s">
        <v>727</v>
      </c>
      <c r="E5" s="78" t="s">
        <v>728</v>
      </c>
      <c r="M5" s="78" t="s">
        <v>485</v>
      </c>
    </row>
    <row r="6" spans="1:13" x14ac:dyDescent="0.25">
      <c r="A6" s="17" t="s">
        <v>75</v>
      </c>
      <c r="B6" s="32">
        <v>21</v>
      </c>
      <c r="C6" s="32">
        <v>11</v>
      </c>
      <c r="D6" s="349">
        <f>2.3</f>
        <v>2.2999999999999998</v>
      </c>
      <c r="E6" s="184">
        <f>D6^2</f>
        <v>5.2899999999999991</v>
      </c>
      <c r="M6" s="184">
        <f t="shared" ref="M6:M32" si="0">SQRT(L6/(2*PI()))</f>
        <v>0</v>
      </c>
    </row>
    <row r="7" spans="1:13" x14ac:dyDescent="0.25">
      <c r="A7" s="18" t="s">
        <v>76</v>
      </c>
      <c r="B7" s="33">
        <v>10</v>
      </c>
      <c r="C7" s="33">
        <v>9</v>
      </c>
      <c r="D7" s="349">
        <f>E7^(1/2)</f>
        <v>1.5871507864874146</v>
      </c>
      <c r="E7" s="184">
        <f>B7/$B$6*$E$6</f>
        <v>2.5190476190476185</v>
      </c>
      <c r="M7" s="184">
        <v>1.8</v>
      </c>
    </row>
    <row r="8" spans="1:13" x14ac:dyDescent="0.25">
      <c r="A8" s="17" t="s">
        <v>74</v>
      </c>
      <c r="B8" s="32">
        <v>9</v>
      </c>
      <c r="C8" s="32">
        <v>9</v>
      </c>
      <c r="D8" s="349">
        <f t="shared" ref="D8:D32" si="1">E8^(1/2)</f>
        <v>1.5057034426283471</v>
      </c>
      <c r="E8" s="184">
        <f t="shared" ref="E8:E32" si="2">B8/$B$6*$E$6</f>
        <v>2.2671428571428565</v>
      </c>
      <c r="M8" s="184">
        <f t="shared" si="0"/>
        <v>0</v>
      </c>
    </row>
    <row r="9" spans="1:13" x14ac:dyDescent="0.25">
      <c r="A9" s="18" t="s">
        <v>81</v>
      </c>
      <c r="B9" s="33">
        <v>8</v>
      </c>
      <c r="C9" s="33">
        <v>8</v>
      </c>
      <c r="D9" s="349">
        <f t="shared" si="1"/>
        <v>1.4195908196512455</v>
      </c>
      <c r="E9" s="184">
        <f t="shared" si="2"/>
        <v>2.0152380952380948</v>
      </c>
      <c r="M9" s="184">
        <f t="shared" si="0"/>
        <v>0</v>
      </c>
    </row>
    <row r="10" spans="1:13" x14ac:dyDescent="0.25">
      <c r="A10" s="17" t="s">
        <v>78</v>
      </c>
      <c r="B10" s="32">
        <v>7</v>
      </c>
      <c r="C10" s="32">
        <v>7</v>
      </c>
      <c r="D10" s="349">
        <f t="shared" si="1"/>
        <v>1.3279056191361391</v>
      </c>
      <c r="E10" s="184">
        <f t="shared" si="2"/>
        <v>1.763333333333333</v>
      </c>
      <c r="M10" s="184">
        <f t="shared" si="0"/>
        <v>0</v>
      </c>
    </row>
    <row r="11" spans="1:13" x14ac:dyDescent="0.25">
      <c r="A11" s="18" t="s">
        <v>77</v>
      </c>
      <c r="B11" s="33">
        <v>7</v>
      </c>
      <c r="C11" s="33">
        <v>7</v>
      </c>
      <c r="D11" s="349">
        <f t="shared" si="1"/>
        <v>1.3279056191361391</v>
      </c>
      <c r="E11" s="184">
        <f t="shared" si="2"/>
        <v>1.763333333333333</v>
      </c>
      <c r="M11" s="184">
        <f t="shared" si="0"/>
        <v>0</v>
      </c>
    </row>
    <row r="12" spans="1:13" x14ac:dyDescent="0.25">
      <c r="A12" s="17" t="s">
        <v>82</v>
      </c>
      <c r="B12" s="32">
        <v>6</v>
      </c>
      <c r="C12" s="32">
        <v>6</v>
      </c>
      <c r="D12" s="349">
        <f t="shared" si="1"/>
        <v>1.2294017127971519</v>
      </c>
      <c r="E12" s="184">
        <f t="shared" si="2"/>
        <v>1.5114285714285711</v>
      </c>
      <c r="M12" s="184">
        <f t="shared" si="0"/>
        <v>0</v>
      </c>
    </row>
    <row r="13" spans="1:13" x14ac:dyDescent="0.25">
      <c r="A13" s="18" t="s">
        <v>80</v>
      </c>
      <c r="B13" s="33">
        <v>6</v>
      </c>
      <c r="C13" s="33">
        <v>6</v>
      </c>
      <c r="D13" s="349">
        <f t="shared" si="1"/>
        <v>1.2294017127971519</v>
      </c>
      <c r="E13" s="184">
        <f t="shared" si="2"/>
        <v>1.5114285714285711</v>
      </c>
      <c r="M13" s="184">
        <f t="shared" si="0"/>
        <v>0</v>
      </c>
    </row>
    <row r="14" spans="1:13" x14ac:dyDescent="0.25">
      <c r="A14" s="17" t="s">
        <v>79</v>
      </c>
      <c r="B14" s="32">
        <v>6</v>
      </c>
      <c r="C14" s="32">
        <v>6</v>
      </c>
      <c r="D14" s="349">
        <f t="shared" si="1"/>
        <v>1.2294017127971519</v>
      </c>
      <c r="E14" s="184">
        <f t="shared" si="2"/>
        <v>1.5114285714285711</v>
      </c>
      <c r="M14" s="184">
        <f t="shared" si="0"/>
        <v>0</v>
      </c>
    </row>
    <row r="15" spans="1:13" x14ac:dyDescent="0.25">
      <c r="A15" s="18" t="s">
        <v>84</v>
      </c>
      <c r="B15" s="33">
        <v>5</v>
      </c>
      <c r="C15" s="33">
        <v>5</v>
      </c>
      <c r="D15" s="349">
        <f t="shared" si="1"/>
        <v>1.1222850838908129</v>
      </c>
      <c r="E15" s="184">
        <f t="shared" si="2"/>
        <v>1.2595238095238093</v>
      </c>
      <c r="M15" s="184">
        <f t="shared" si="0"/>
        <v>0</v>
      </c>
    </row>
    <row r="16" spans="1:13" x14ac:dyDescent="0.25">
      <c r="A16" s="17" t="s">
        <v>83</v>
      </c>
      <c r="B16" s="32">
        <v>4</v>
      </c>
      <c r="C16" s="32">
        <v>4</v>
      </c>
      <c r="D16" s="349">
        <f t="shared" si="1"/>
        <v>1.003802295085565</v>
      </c>
      <c r="E16" s="184">
        <f t="shared" si="2"/>
        <v>1.0076190476190474</v>
      </c>
      <c r="M16" s="184">
        <f t="shared" si="0"/>
        <v>0</v>
      </c>
    </row>
    <row r="17" spans="1:13" x14ac:dyDescent="0.25">
      <c r="A17" s="18" t="s">
        <v>86</v>
      </c>
      <c r="B17" s="33">
        <v>4</v>
      </c>
      <c r="C17" s="33">
        <v>4</v>
      </c>
      <c r="D17" s="349">
        <f t="shared" si="1"/>
        <v>1.003802295085565</v>
      </c>
      <c r="E17" s="184">
        <f t="shared" si="2"/>
        <v>1.0076190476190474</v>
      </c>
      <c r="M17" s="184">
        <f t="shared" si="0"/>
        <v>0</v>
      </c>
    </row>
    <row r="18" spans="1:13" x14ac:dyDescent="0.25">
      <c r="A18" s="17" t="s">
        <v>90</v>
      </c>
      <c r="B18" s="32">
        <v>3</v>
      </c>
      <c r="C18" s="32">
        <v>3</v>
      </c>
      <c r="D18" s="349">
        <f t="shared" si="1"/>
        <v>0.86931828792122257</v>
      </c>
      <c r="E18" s="184">
        <f t="shared" si="2"/>
        <v>0.75571428571428556</v>
      </c>
      <c r="M18" s="184">
        <f t="shared" si="0"/>
        <v>0</v>
      </c>
    </row>
    <row r="19" spans="1:13" x14ac:dyDescent="0.25">
      <c r="A19" s="18" t="s">
        <v>93</v>
      </c>
      <c r="B19" s="33">
        <v>3</v>
      </c>
      <c r="C19" s="33">
        <v>3</v>
      </c>
      <c r="D19" s="349">
        <f t="shared" si="1"/>
        <v>0.86931828792122257</v>
      </c>
      <c r="E19" s="184">
        <f t="shared" si="2"/>
        <v>0.75571428571428556</v>
      </c>
      <c r="M19" s="184">
        <f t="shared" si="0"/>
        <v>0</v>
      </c>
    </row>
    <row r="20" spans="1:13" x14ac:dyDescent="0.25">
      <c r="A20" s="17" t="s">
        <v>85</v>
      </c>
      <c r="B20" s="32">
        <v>3</v>
      </c>
      <c r="C20" s="32">
        <v>3</v>
      </c>
      <c r="D20" s="349">
        <f t="shared" si="1"/>
        <v>0.86931828792122257</v>
      </c>
      <c r="E20" s="184">
        <f t="shared" si="2"/>
        <v>0.75571428571428556</v>
      </c>
      <c r="M20" s="184">
        <f t="shared" si="0"/>
        <v>0</v>
      </c>
    </row>
    <row r="21" spans="1:13" x14ac:dyDescent="0.25">
      <c r="A21" s="18" t="s">
        <v>92</v>
      </c>
      <c r="B21" s="33">
        <v>2</v>
      </c>
      <c r="C21" s="33">
        <v>2</v>
      </c>
      <c r="D21" s="349">
        <f t="shared" si="1"/>
        <v>0.70979540982562273</v>
      </c>
      <c r="E21" s="184">
        <f t="shared" si="2"/>
        <v>0.50380952380952371</v>
      </c>
      <c r="M21" s="184">
        <f t="shared" si="0"/>
        <v>0</v>
      </c>
    </row>
    <row r="22" spans="1:13" x14ac:dyDescent="0.25">
      <c r="A22" s="17" t="s">
        <v>95</v>
      </c>
      <c r="B22" s="32">
        <v>2</v>
      </c>
      <c r="C22" s="32">
        <v>1</v>
      </c>
      <c r="D22" s="349">
        <f t="shared" si="1"/>
        <v>0.70979540982562273</v>
      </c>
      <c r="E22" s="184">
        <f t="shared" si="2"/>
        <v>0.50380952380952371</v>
      </c>
      <c r="M22" s="184">
        <f t="shared" si="0"/>
        <v>0</v>
      </c>
    </row>
    <row r="23" spans="1:13" x14ac:dyDescent="0.25">
      <c r="A23" s="18" t="s">
        <v>91</v>
      </c>
      <c r="B23" s="33">
        <v>2</v>
      </c>
      <c r="C23" s="33">
        <v>2</v>
      </c>
      <c r="D23" s="349">
        <f t="shared" si="1"/>
        <v>0.70979540982562273</v>
      </c>
      <c r="E23" s="184">
        <f t="shared" si="2"/>
        <v>0.50380952380952371</v>
      </c>
      <c r="M23" s="184">
        <f t="shared" si="0"/>
        <v>0</v>
      </c>
    </row>
    <row r="24" spans="1:13" x14ac:dyDescent="0.25">
      <c r="A24" s="17" t="s">
        <v>89</v>
      </c>
      <c r="B24" s="32">
        <v>2</v>
      </c>
      <c r="C24" s="32">
        <v>2</v>
      </c>
      <c r="D24" s="349">
        <f t="shared" si="1"/>
        <v>0.70979540982562273</v>
      </c>
      <c r="E24" s="184">
        <f t="shared" si="2"/>
        <v>0.50380952380952371</v>
      </c>
      <c r="M24" s="184">
        <f t="shared" si="0"/>
        <v>0</v>
      </c>
    </row>
    <row r="25" spans="1:13" x14ac:dyDescent="0.25">
      <c r="A25" s="18" t="s">
        <v>87</v>
      </c>
      <c r="B25" s="33">
        <v>2</v>
      </c>
      <c r="C25" s="33">
        <v>2</v>
      </c>
      <c r="D25" s="349">
        <f t="shared" si="1"/>
        <v>0.70979540982562273</v>
      </c>
      <c r="E25" s="184">
        <f t="shared" si="2"/>
        <v>0.50380952380952371</v>
      </c>
      <c r="M25" s="184">
        <f t="shared" si="0"/>
        <v>0</v>
      </c>
    </row>
    <row r="26" spans="1:13" x14ac:dyDescent="0.25">
      <c r="A26" s="17" t="s">
        <v>100</v>
      </c>
      <c r="B26" s="32">
        <v>1</v>
      </c>
      <c r="C26" s="32">
        <v>1</v>
      </c>
      <c r="D26" s="349">
        <f t="shared" si="1"/>
        <v>0.50190114754278248</v>
      </c>
      <c r="E26" s="184">
        <f t="shared" si="2"/>
        <v>0.25190476190476185</v>
      </c>
      <c r="M26" s="184">
        <f t="shared" si="0"/>
        <v>0</v>
      </c>
    </row>
    <row r="27" spans="1:13" x14ac:dyDescent="0.25">
      <c r="A27" s="18" t="s">
        <v>94</v>
      </c>
      <c r="B27" s="33">
        <v>1</v>
      </c>
      <c r="C27" s="33">
        <v>1</v>
      </c>
      <c r="D27" s="349">
        <f t="shared" si="1"/>
        <v>0.50190114754278248</v>
      </c>
      <c r="E27" s="184">
        <f t="shared" si="2"/>
        <v>0.25190476190476185</v>
      </c>
      <c r="M27" s="184">
        <f t="shared" si="0"/>
        <v>0</v>
      </c>
    </row>
    <row r="28" spans="1:13" x14ac:dyDescent="0.25">
      <c r="A28" s="17" t="s">
        <v>99</v>
      </c>
      <c r="B28" s="32">
        <v>1</v>
      </c>
      <c r="C28" s="32">
        <v>1</v>
      </c>
      <c r="D28" s="349">
        <f t="shared" si="1"/>
        <v>0.50190114754278248</v>
      </c>
      <c r="E28" s="184">
        <f t="shared" si="2"/>
        <v>0.25190476190476185</v>
      </c>
      <c r="M28" s="184">
        <f t="shared" si="0"/>
        <v>0</v>
      </c>
    </row>
    <row r="29" spans="1:13" x14ac:dyDescent="0.25">
      <c r="A29" s="18" t="s">
        <v>96</v>
      </c>
      <c r="B29" s="33">
        <v>1</v>
      </c>
      <c r="C29" s="33">
        <v>1</v>
      </c>
      <c r="D29" s="349">
        <f t="shared" si="1"/>
        <v>0.50190114754278248</v>
      </c>
      <c r="E29" s="184">
        <f t="shared" si="2"/>
        <v>0.25190476190476185</v>
      </c>
      <c r="M29" s="184">
        <f t="shared" si="0"/>
        <v>0</v>
      </c>
    </row>
    <row r="30" spans="1:13" x14ac:dyDescent="0.25">
      <c r="A30" s="17" t="s">
        <v>98</v>
      </c>
      <c r="B30" s="32">
        <v>1</v>
      </c>
      <c r="C30" s="32">
        <v>1</v>
      </c>
      <c r="D30" s="349">
        <f t="shared" si="1"/>
        <v>0.50190114754278248</v>
      </c>
      <c r="E30" s="184">
        <f t="shared" si="2"/>
        <v>0.25190476190476185</v>
      </c>
      <c r="M30" s="184">
        <f t="shared" si="0"/>
        <v>0</v>
      </c>
    </row>
    <row r="31" spans="1:13" x14ac:dyDescent="0.25">
      <c r="A31" s="18" t="s">
        <v>88</v>
      </c>
      <c r="B31" s="33">
        <v>1</v>
      </c>
      <c r="C31" s="33">
        <v>1</v>
      </c>
      <c r="D31" s="349">
        <f t="shared" si="1"/>
        <v>0.50190114754278248</v>
      </c>
      <c r="E31" s="184">
        <f t="shared" si="2"/>
        <v>0.25190476190476185</v>
      </c>
      <c r="M31" s="184">
        <f t="shared" si="0"/>
        <v>0</v>
      </c>
    </row>
    <row r="32" spans="1:13" x14ac:dyDescent="0.25">
      <c r="A32" s="17" t="s">
        <v>97</v>
      </c>
      <c r="B32" s="32">
        <v>1</v>
      </c>
      <c r="C32" s="32">
        <v>1</v>
      </c>
      <c r="D32" s="349">
        <f t="shared" si="1"/>
        <v>0.50190114754278248</v>
      </c>
      <c r="E32" s="184">
        <f t="shared" si="2"/>
        <v>0.25190476190476185</v>
      </c>
      <c r="M32" s="184">
        <f t="shared" si="0"/>
        <v>0</v>
      </c>
    </row>
    <row r="33" spans="1:5" x14ac:dyDescent="0.25">
      <c r="A33" s="1" t="s">
        <v>42</v>
      </c>
      <c r="B33" s="34">
        <f>SUM(B6:B32)</f>
        <v>119</v>
      </c>
      <c r="C33" s="34">
        <f>SUM(C6:C32)</f>
        <v>107</v>
      </c>
      <c r="D33" s="349"/>
      <c r="E33" s="236"/>
    </row>
  </sheetData>
  <sortState xmlns:xlrd2="http://schemas.microsoft.com/office/spreadsheetml/2017/richdata2" ref="A6:C32">
    <sortCondition descending="1" ref="B6:B32"/>
  </sortState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33"/>
  <dimension ref="A1:H55"/>
  <sheetViews>
    <sheetView showGridLines="0" workbookViewId="0">
      <selection activeCell="A5" sqref="A5:B55"/>
    </sheetView>
  </sheetViews>
  <sheetFormatPr defaultRowHeight="15" x14ac:dyDescent="0.25"/>
  <cols>
    <col min="1" max="1" width="21" bestFit="1" customWidth="1"/>
    <col min="2" max="2" width="34.5703125" customWidth="1"/>
    <col min="3" max="3" width="15.5703125" customWidth="1"/>
    <col min="5" max="5" width="11.140625" customWidth="1"/>
  </cols>
  <sheetData>
    <row r="1" spans="1:8" x14ac:dyDescent="0.25">
      <c r="C1" s="78"/>
      <c r="D1" s="78"/>
      <c r="E1" s="78"/>
      <c r="F1" s="78"/>
      <c r="G1" s="78" t="s">
        <v>1165</v>
      </c>
      <c r="H1" s="78" t="s">
        <v>1166</v>
      </c>
    </row>
    <row r="3" spans="1:8" x14ac:dyDescent="0.25">
      <c r="A3" s="350" t="str">
        <f>"Tabela Referente à "&amp;G1</f>
        <v>Tabela Referente à Figura 2.22</v>
      </c>
      <c r="B3" s="350"/>
    </row>
    <row r="4" spans="1:8" ht="17.25" customHeight="1" x14ac:dyDescent="0.25">
      <c r="A4" s="351" t="str">
        <f>H1</f>
        <v>Decolagens por estado e aeroporto – região Sudeste, 2018</v>
      </c>
      <c r="B4" s="351"/>
    </row>
    <row r="5" spans="1:8" x14ac:dyDescent="0.25">
      <c r="A5" s="1" t="s">
        <v>101</v>
      </c>
      <c r="B5" s="21" t="s">
        <v>64</v>
      </c>
      <c r="C5" s="78" t="str">
        <f>MID(A55,7,LEN(A55))&amp;" "&amp;TEXT(B55,"#.##")&amp;" decolagens"</f>
        <v>Região Sudeste 409.246 decolagens</v>
      </c>
    </row>
    <row r="6" spans="1:8" x14ac:dyDescent="0.25">
      <c r="A6" s="276" t="s">
        <v>132</v>
      </c>
      <c r="B6" s="168">
        <v>13259</v>
      </c>
      <c r="E6" s="35"/>
      <c r="F6" s="36"/>
    </row>
    <row r="7" spans="1:8" x14ac:dyDescent="0.25">
      <c r="A7" s="277" t="s">
        <v>763</v>
      </c>
      <c r="B7" s="169">
        <v>13259</v>
      </c>
      <c r="E7" s="37"/>
      <c r="F7" s="38"/>
    </row>
    <row r="8" spans="1:8" x14ac:dyDescent="0.25">
      <c r="A8" s="278" t="s">
        <v>764</v>
      </c>
      <c r="B8" s="169">
        <v>1</v>
      </c>
      <c r="E8" s="35"/>
      <c r="F8" s="36"/>
    </row>
    <row r="9" spans="1:8" x14ac:dyDescent="0.25">
      <c r="A9" s="278" t="s">
        <v>765</v>
      </c>
      <c r="B9" s="169">
        <v>19</v>
      </c>
      <c r="C9" s="29"/>
      <c r="E9" s="35"/>
      <c r="F9" s="36"/>
    </row>
    <row r="10" spans="1:8" x14ac:dyDescent="0.25">
      <c r="A10" s="278" t="s">
        <v>766</v>
      </c>
      <c r="B10" s="169">
        <v>27</v>
      </c>
      <c r="C10" s="29"/>
      <c r="E10" s="35"/>
      <c r="F10" s="36"/>
    </row>
    <row r="11" spans="1:8" x14ac:dyDescent="0.25">
      <c r="A11" s="278" t="s">
        <v>767</v>
      </c>
      <c r="B11" s="169">
        <v>29</v>
      </c>
      <c r="E11" s="35"/>
      <c r="F11" s="36"/>
    </row>
    <row r="12" spans="1:8" x14ac:dyDescent="0.25">
      <c r="A12" s="278" t="s">
        <v>450</v>
      </c>
      <c r="B12" s="169">
        <v>30</v>
      </c>
      <c r="E12" s="35"/>
      <c r="F12" s="36"/>
    </row>
    <row r="13" spans="1:8" x14ac:dyDescent="0.25">
      <c r="A13" s="278" t="s">
        <v>768</v>
      </c>
      <c r="B13" s="169">
        <v>41</v>
      </c>
      <c r="E13" s="35"/>
      <c r="F13" s="36"/>
    </row>
    <row r="14" spans="1:8" x14ac:dyDescent="0.25">
      <c r="A14" s="278" t="s">
        <v>769</v>
      </c>
      <c r="B14" s="169">
        <v>42</v>
      </c>
      <c r="E14" s="35"/>
      <c r="F14" s="36"/>
    </row>
    <row r="15" spans="1:8" x14ac:dyDescent="0.25">
      <c r="A15" s="278" t="s">
        <v>770</v>
      </c>
      <c r="B15" s="169">
        <v>69</v>
      </c>
      <c r="E15" s="35"/>
      <c r="F15" s="36"/>
    </row>
    <row r="16" spans="1:8" x14ac:dyDescent="0.25">
      <c r="A16" s="278" t="s">
        <v>771</v>
      </c>
      <c r="B16" s="169">
        <v>80</v>
      </c>
      <c r="E16" s="35"/>
      <c r="F16" s="36"/>
    </row>
    <row r="17" spans="1:6" x14ac:dyDescent="0.25">
      <c r="A17" s="278" t="s">
        <v>772</v>
      </c>
      <c r="B17" s="169">
        <v>105</v>
      </c>
      <c r="E17" s="35"/>
      <c r="F17" s="36"/>
    </row>
    <row r="18" spans="1:6" x14ac:dyDescent="0.25">
      <c r="A18" s="278" t="s">
        <v>773</v>
      </c>
      <c r="B18" s="169">
        <v>109</v>
      </c>
      <c r="E18" s="35"/>
      <c r="F18" s="36"/>
    </row>
    <row r="19" spans="1:6" x14ac:dyDescent="0.25">
      <c r="A19" s="278" t="s">
        <v>774</v>
      </c>
      <c r="B19" s="169">
        <v>116</v>
      </c>
      <c r="E19" s="35"/>
      <c r="F19" s="36"/>
    </row>
    <row r="20" spans="1:6" x14ac:dyDescent="0.25">
      <c r="A20" s="277" t="s">
        <v>775</v>
      </c>
      <c r="B20" s="169">
        <v>125</v>
      </c>
      <c r="E20" s="35"/>
      <c r="F20" s="36"/>
    </row>
    <row r="21" spans="1:6" x14ac:dyDescent="0.25">
      <c r="A21" s="278" t="s">
        <v>135</v>
      </c>
      <c r="B21" s="169">
        <v>135</v>
      </c>
      <c r="E21" s="35"/>
      <c r="F21" s="36"/>
    </row>
    <row r="22" spans="1:6" x14ac:dyDescent="0.25">
      <c r="A22" s="278" t="s">
        <v>776</v>
      </c>
      <c r="B22" s="278">
        <v>139</v>
      </c>
      <c r="E22" s="35"/>
      <c r="F22" s="36"/>
    </row>
    <row r="23" spans="1:6" x14ac:dyDescent="0.25">
      <c r="A23" s="278" t="s">
        <v>777</v>
      </c>
      <c r="B23" s="169">
        <v>189</v>
      </c>
      <c r="E23" s="37"/>
      <c r="F23" s="38"/>
    </row>
    <row r="24" spans="1:6" x14ac:dyDescent="0.25">
      <c r="A24" s="278" t="s">
        <v>778</v>
      </c>
      <c r="B24" s="169">
        <v>199</v>
      </c>
      <c r="E24" s="35"/>
      <c r="F24" s="36"/>
    </row>
    <row r="25" spans="1:6" x14ac:dyDescent="0.25">
      <c r="A25" s="277" t="s">
        <v>134</v>
      </c>
      <c r="B25" s="169">
        <v>205</v>
      </c>
      <c r="E25" s="35"/>
      <c r="F25" s="36"/>
    </row>
    <row r="26" spans="1:6" x14ac:dyDescent="0.25">
      <c r="A26" s="278" t="s">
        <v>133</v>
      </c>
      <c r="B26" s="169">
        <v>206</v>
      </c>
      <c r="E26" s="35"/>
      <c r="F26" s="36"/>
    </row>
    <row r="27" spans="1:6" x14ac:dyDescent="0.25">
      <c r="A27" s="278" t="s">
        <v>779</v>
      </c>
      <c r="B27" s="169">
        <v>254</v>
      </c>
      <c r="E27" s="35"/>
      <c r="F27" s="36"/>
    </row>
    <row r="28" spans="1:6" x14ac:dyDescent="0.25">
      <c r="A28" s="278" t="s">
        <v>137</v>
      </c>
      <c r="B28" s="169">
        <v>443</v>
      </c>
      <c r="E28" s="35"/>
      <c r="F28" s="36"/>
    </row>
    <row r="29" spans="1:6" x14ac:dyDescent="0.25">
      <c r="A29" s="278" t="s">
        <v>138</v>
      </c>
      <c r="B29" s="169">
        <v>607</v>
      </c>
      <c r="E29" s="35"/>
      <c r="F29" s="36"/>
    </row>
    <row r="30" spans="1:6" x14ac:dyDescent="0.25">
      <c r="A30" s="278" t="s">
        <v>136</v>
      </c>
      <c r="B30" s="169">
        <v>1189</v>
      </c>
      <c r="E30" s="37"/>
      <c r="F30" s="38"/>
    </row>
    <row r="31" spans="1:6" x14ac:dyDescent="0.25">
      <c r="A31" s="278" t="s">
        <v>139</v>
      </c>
      <c r="B31" s="169">
        <v>1247</v>
      </c>
      <c r="E31" s="35"/>
      <c r="F31" s="36"/>
    </row>
    <row r="32" spans="1:6" x14ac:dyDescent="0.25">
      <c r="A32" s="278" t="s">
        <v>141</v>
      </c>
      <c r="B32" s="169">
        <v>1463</v>
      </c>
      <c r="E32" s="35"/>
      <c r="F32" s="36"/>
    </row>
    <row r="33" spans="1:6" x14ac:dyDescent="0.25">
      <c r="A33" s="278" t="s">
        <v>140</v>
      </c>
      <c r="B33" s="169">
        <v>1565</v>
      </c>
      <c r="E33" s="35"/>
      <c r="F33" s="36"/>
    </row>
    <row r="34" spans="1:6" x14ac:dyDescent="0.25">
      <c r="A34" s="278" t="s">
        <v>142</v>
      </c>
      <c r="B34" s="169">
        <v>6118</v>
      </c>
      <c r="E34" s="35"/>
      <c r="F34" s="36"/>
    </row>
    <row r="35" spans="1:6" x14ac:dyDescent="0.25">
      <c r="A35" s="278" t="s">
        <v>143</v>
      </c>
      <c r="B35" s="169">
        <v>47440</v>
      </c>
      <c r="E35" s="35"/>
      <c r="F35" s="36"/>
    </row>
    <row r="36" spans="1:6" x14ac:dyDescent="0.25">
      <c r="A36" s="278" t="s">
        <v>780</v>
      </c>
      <c r="B36" s="169">
        <v>62192</v>
      </c>
      <c r="E36" s="35"/>
      <c r="F36" s="36"/>
    </row>
    <row r="37" spans="1:6" x14ac:dyDescent="0.25">
      <c r="A37" s="277" t="s">
        <v>145</v>
      </c>
      <c r="B37" s="169">
        <v>260</v>
      </c>
      <c r="E37" s="35"/>
      <c r="F37" s="36"/>
    </row>
    <row r="38" spans="1:6" x14ac:dyDescent="0.25">
      <c r="A38" s="277" t="s">
        <v>144</v>
      </c>
      <c r="B38" s="169">
        <v>269</v>
      </c>
      <c r="E38" s="35"/>
      <c r="F38" s="36"/>
    </row>
    <row r="39" spans="1:6" x14ac:dyDescent="0.25">
      <c r="A39" s="277" t="s">
        <v>147</v>
      </c>
      <c r="B39" s="169">
        <v>38611</v>
      </c>
      <c r="E39" s="35"/>
      <c r="F39" s="36"/>
    </row>
    <row r="40" spans="1:6" x14ac:dyDescent="0.25">
      <c r="A40" s="277" t="s">
        <v>146</v>
      </c>
      <c r="B40" s="169">
        <v>43768</v>
      </c>
      <c r="E40" s="35"/>
      <c r="F40" s="36"/>
    </row>
    <row r="41" spans="1:6" x14ac:dyDescent="0.25">
      <c r="A41" s="277" t="s">
        <v>781</v>
      </c>
      <c r="B41" s="169">
        <v>82908</v>
      </c>
      <c r="E41" s="35"/>
      <c r="F41" s="36"/>
    </row>
    <row r="42" spans="1:6" x14ac:dyDescent="0.25">
      <c r="A42" s="277" t="s">
        <v>782</v>
      </c>
      <c r="B42" s="169">
        <v>1</v>
      </c>
    </row>
    <row r="43" spans="1:6" x14ac:dyDescent="0.25">
      <c r="A43" s="277" t="s">
        <v>783</v>
      </c>
      <c r="B43" s="169">
        <v>1</v>
      </c>
    </row>
    <row r="44" spans="1:6" x14ac:dyDescent="0.25">
      <c r="A44" s="277" t="s">
        <v>151</v>
      </c>
      <c r="B44" s="169">
        <v>80</v>
      </c>
    </row>
    <row r="45" spans="1:6" x14ac:dyDescent="0.25">
      <c r="A45" s="277" t="s">
        <v>148</v>
      </c>
      <c r="B45" s="169">
        <v>611</v>
      </c>
    </row>
    <row r="46" spans="1:6" x14ac:dyDescent="0.25">
      <c r="A46" s="277" t="s">
        <v>150</v>
      </c>
      <c r="B46" s="169">
        <v>864</v>
      </c>
    </row>
    <row r="47" spans="1:6" x14ac:dyDescent="0.25">
      <c r="A47" s="277" t="s">
        <v>149</v>
      </c>
      <c r="B47" s="169">
        <v>924</v>
      </c>
    </row>
    <row r="48" spans="1:6" x14ac:dyDescent="0.25">
      <c r="A48" s="277" t="s">
        <v>152</v>
      </c>
      <c r="B48" s="169">
        <v>1566</v>
      </c>
    </row>
    <row r="49" spans="1:2" x14ac:dyDescent="0.25">
      <c r="A49" s="277" t="s">
        <v>153</v>
      </c>
      <c r="B49" s="169">
        <v>4509</v>
      </c>
    </row>
    <row r="50" spans="1:2" x14ac:dyDescent="0.25">
      <c r="A50" s="277" t="s">
        <v>154</v>
      </c>
      <c r="B50" s="169">
        <v>7505</v>
      </c>
    </row>
    <row r="51" spans="1:2" x14ac:dyDescent="0.25">
      <c r="A51" s="277" t="s">
        <v>155</v>
      </c>
      <c r="B51" s="169">
        <v>46994</v>
      </c>
    </row>
    <row r="52" spans="1:2" x14ac:dyDescent="0.25">
      <c r="A52" s="277" t="s">
        <v>156</v>
      </c>
      <c r="B52" s="169">
        <v>88061</v>
      </c>
    </row>
    <row r="53" spans="1:2" x14ac:dyDescent="0.25">
      <c r="A53" s="277" t="s">
        <v>157</v>
      </c>
      <c r="B53" s="169">
        <v>99771</v>
      </c>
    </row>
    <row r="54" spans="1:2" x14ac:dyDescent="0.25">
      <c r="A54" s="277" t="s">
        <v>784</v>
      </c>
      <c r="B54" s="169">
        <v>250887</v>
      </c>
    </row>
    <row r="55" spans="1:2" x14ac:dyDescent="0.25">
      <c r="A55" s="277" t="s">
        <v>785</v>
      </c>
      <c r="B55" s="169">
        <v>409246</v>
      </c>
    </row>
  </sheetData>
  <sortState xmlns:xlrd2="http://schemas.microsoft.com/office/spreadsheetml/2017/richdata2" ref="A31:B44">
    <sortCondition descending="1" ref="B31:B44"/>
  </sortState>
  <mergeCells count="2">
    <mergeCell ref="A3:B3"/>
    <mergeCell ref="A4:B4"/>
  </mergeCells>
  <conditionalFormatting sqref="A6:B55">
    <cfRule type="expression" dxfId="25" priority="1">
      <formula>LEFT($A6,5)="Total"</formula>
    </cfRule>
    <cfRule type="expression" dxfId="24" priority="2">
      <formula>RIGHT($A6,5)="Total"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34"/>
  <dimension ref="A1:H83"/>
  <sheetViews>
    <sheetView showGridLines="0" zoomScaleNormal="100" workbookViewId="0">
      <selection activeCell="A5" sqref="A5:B55"/>
    </sheetView>
  </sheetViews>
  <sheetFormatPr defaultRowHeight="15" x14ac:dyDescent="0.25"/>
  <cols>
    <col min="1" max="1" width="21" bestFit="1" customWidth="1"/>
    <col min="2" max="2" width="34.5703125" customWidth="1"/>
    <col min="5" max="5" width="11.140625" customWidth="1"/>
  </cols>
  <sheetData>
    <row r="1" spans="1:8" x14ac:dyDescent="0.25">
      <c r="C1" s="78"/>
      <c r="D1" s="78"/>
      <c r="E1" s="78"/>
      <c r="F1" s="78"/>
      <c r="G1" s="78" t="s">
        <v>1167</v>
      </c>
      <c r="H1" s="78" t="s">
        <v>1168</v>
      </c>
    </row>
    <row r="3" spans="1:8" x14ac:dyDescent="0.25">
      <c r="A3" s="350" t="str">
        <f>"Tabela Referente à "&amp;G1</f>
        <v>Tabela Referente à Figura 2.23</v>
      </c>
      <c r="B3" s="350"/>
    </row>
    <row r="4" spans="1:8" x14ac:dyDescent="0.25">
      <c r="A4" s="351" t="str">
        <f>H1</f>
        <v>Decolagens por estado e aeroporto – região Nordeste, 2018</v>
      </c>
      <c r="B4" s="351"/>
    </row>
    <row r="5" spans="1:8" x14ac:dyDescent="0.25">
      <c r="A5" s="1" t="s">
        <v>101</v>
      </c>
      <c r="B5" s="21" t="s">
        <v>64</v>
      </c>
      <c r="C5" s="78" t="str">
        <f>MID(A43,7,LEN(A43))&amp;" "&amp;TEXT(B43,"#.##")&amp;" decolagens"</f>
        <v>Região Sudeste 142.693 decolagens</v>
      </c>
      <c r="G5" s="44"/>
      <c r="H5" s="45"/>
    </row>
    <row r="6" spans="1:8" x14ac:dyDescent="0.25">
      <c r="A6" s="276" t="s">
        <v>416</v>
      </c>
      <c r="B6" s="168">
        <v>51</v>
      </c>
      <c r="E6" s="35"/>
      <c r="F6" s="36"/>
      <c r="G6" s="44"/>
      <c r="H6" s="45"/>
    </row>
    <row r="7" spans="1:8" x14ac:dyDescent="0.25">
      <c r="A7" s="277" t="s">
        <v>158</v>
      </c>
      <c r="B7" s="169">
        <v>4466</v>
      </c>
      <c r="E7" s="37"/>
      <c r="F7" s="38"/>
      <c r="G7" s="44"/>
      <c r="H7" s="45"/>
    </row>
    <row r="8" spans="1:8" x14ac:dyDescent="0.25">
      <c r="A8" s="278" t="s">
        <v>787</v>
      </c>
      <c r="B8" s="169">
        <v>4517</v>
      </c>
      <c r="E8" s="35"/>
      <c r="F8" s="36"/>
      <c r="G8" s="44"/>
      <c r="H8" s="45"/>
    </row>
    <row r="9" spans="1:8" x14ac:dyDescent="0.25">
      <c r="A9" s="278" t="s">
        <v>159</v>
      </c>
      <c r="B9" s="169">
        <v>4532</v>
      </c>
      <c r="C9" s="29"/>
      <c r="E9" s="35"/>
      <c r="F9" s="36"/>
      <c r="G9" s="44"/>
      <c r="H9" s="45"/>
    </row>
    <row r="10" spans="1:8" x14ac:dyDescent="0.25">
      <c r="A10" s="278" t="s">
        <v>786</v>
      </c>
      <c r="B10" s="169">
        <v>4532</v>
      </c>
      <c r="C10" s="29"/>
      <c r="E10" s="35"/>
      <c r="F10" s="36"/>
      <c r="G10" s="44"/>
      <c r="H10" s="45"/>
    </row>
    <row r="11" spans="1:8" x14ac:dyDescent="0.25">
      <c r="A11" s="278" t="s">
        <v>160</v>
      </c>
      <c r="B11" s="169">
        <v>861</v>
      </c>
      <c r="E11" s="35"/>
      <c r="F11" s="36"/>
      <c r="G11" s="44"/>
      <c r="H11" s="45"/>
    </row>
    <row r="12" spans="1:8" x14ac:dyDescent="0.25">
      <c r="A12" s="278" t="s">
        <v>161</v>
      </c>
      <c r="B12" s="169">
        <v>5297</v>
      </c>
      <c r="E12" s="35"/>
      <c r="F12" s="36"/>
      <c r="G12" s="44"/>
      <c r="H12" s="45"/>
    </row>
    <row r="13" spans="1:8" x14ac:dyDescent="0.25">
      <c r="A13" s="278" t="s">
        <v>788</v>
      </c>
      <c r="B13" s="169">
        <v>6158</v>
      </c>
      <c r="E13" s="35"/>
      <c r="F13" s="36"/>
      <c r="G13" s="46"/>
      <c r="H13" s="47"/>
    </row>
    <row r="14" spans="1:8" x14ac:dyDescent="0.25">
      <c r="A14" s="278" t="s">
        <v>162</v>
      </c>
      <c r="B14" s="169">
        <v>7631</v>
      </c>
      <c r="E14" s="35"/>
      <c r="F14" s="36"/>
      <c r="G14" s="44"/>
      <c r="H14" s="45"/>
    </row>
    <row r="15" spans="1:8" x14ac:dyDescent="0.25">
      <c r="A15" s="278" t="s">
        <v>789</v>
      </c>
      <c r="B15" s="169">
        <v>7631</v>
      </c>
      <c r="E15" s="35"/>
      <c r="F15" s="36"/>
      <c r="G15" s="44"/>
      <c r="H15" s="45"/>
    </row>
    <row r="16" spans="1:8" x14ac:dyDescent="0.25">
      <c r="A16" s="278" t="s">
        <v>163</v>
      </c>
      <c r="B16" s="169">
        <v>1218</v>
      </c>
      <c r="E16" s="35"/>
      <c r="F16" s="36"/>
      <c r="G16" s="44"/>
      <c r="H16" s="45"/>
    </row>
    <row r="17" spans="1:8" x14ac:dyDescent="0.25">
      <c r="A17" s="278" t="s">
        <v>164</v>
      </c>
      <c r="B17" s="169">
        <v>6749</v>
      </c>
      <c r="E17" s="35"/>
      <c r="F17" s="36"/>
      <c r="G17" s="46"/>
      <c r="H17" s="47"/>
    </row>
    <row r="18" spans="1:8" x14ac:dyDescent="0.25">
      <c r="A18" s="278" t="s">
        <v>790</v>
      </c>
      <c r="B18" s="169">
        <v>7967</v>
      </c>
      <c r="E18" s="35"/>
      <c r="F18" s="36"/>
      <c r="G18" s="44"/>
      <c r="H18" s="45"/>
    </row>
    <row r="19" spans="1:8" x14ac:dyDescent="0.25">
      <c r="A19" s="278" t="s">
        <v>791</v>
      </c>
      <c r="B19" s="169">
        <v>133</v>
      </c>
      <c r="E19" s="35"/>
      <c r="F19" s="36"/>
      <c r="G19" s="44"/>
      <c r="H19" s="45"/>
    </row>
    <row r="20" spans="1:8" x14ac:dyDescent="0.25">
      <c r="A20" s="277" t="s">
        <v>400</v>
      </c>
      <c r="B20" s="169">
        <v>8482</v>
      </c>
      <c r="E20" s="35"/>
      <c r="F20" s="36"/>
      <c r="G20" s="46"/>
      <c r="H20" s="47"/>
    </row>
    <row r="21" spans="1:8" x14ac:dyDescent="0.25">
      <c r="A21" s="278" t="s">
        <v>792</v>
      </c>
      <c r="B21" s="169">
        <v>8615</v>
      </c>
      <c r="E21" s="35"/>
      <c r="F21" s="36"/>
      <c r="G21" s="44"/>
      <c r="H21" s="45"/>
    </row>
    <row r="22" spans="1:8" x14ac:dyDescent="0.25">
      <c r="A22" s="278" t="s">
        <v>565</v>
      </c>
      <c r="B22" s="278">
        <v>410</v>
      </c>
      <c r="E22" s="35"/>
      <c r="F22" s="36"/>
      <c r="G22" s="44"/>
      <c r="H22" s="45"/>
    </row>
    <row r="23" spans="1:8" x14ac:dyDescent="0.25">
      <c r="A23" s="278" t="s">
        <v>165</v>
      </c>
      <c r="B23" s="169">
        <v>2872</v>
      </c>
      <c r="E23" s="37"/>
      <c r="F23" s="38"/>
      <c r="G23" s="46"/>
      <c r="H23" s="47"/>
    </row>
    <row r="24" spans="1:8" x14ac:dyDescent="0.25">
      <c r="A24" s="278" t="s">
        <v>166</v>
      </c>
      <c r="B24" s="169">
        <v>21674</v>
      </c>
      <c r="E24" s="35"/>
      <c r="F24" s="36"/>
      <c r="G24" s="44"/>
      <c r="H24" s="45"/>
    </row>
    <row r="25" spans="1:8" x14ac:dyDescent="0.25">
      <c r="A25" s="277" t="s">
        <v>793</v>
      </c>
      <c r="B25" s="169">
        <v>24956</v>
      </c>
      <c r="E25" s="35"/>
      <c r="F25" s="36"/>
      <c r="G25" s="46"/>
      <c r="H25" s="47"/>
    </row>
    <row r="26" spans="1:8" x14ac:dyDescent="0.25">
      <c r="A26" s="278" t="s">
        <v>794</v>
      </c>
      <c r="B26" s="169">
        <v>1</v>
      </c>
      <c r="E26" s="35"/>
      <c r="F26" s="36"/>
      <c r="G26" s="44"/>
      <c r="H26" s="45"/>
    </row>
    <row r="27" spans="1:8" x14ac:dyDescent="0.25">
      <c r="A27" s="278" t="s">
        <v>167</v>
      </c>
      <c r="B27" s="169">
        <v>1691</v>
      </c>
      <c r="E27" s="35"/>
      <c r="F27" s="36"/>
      <c r="G27" s="46"/>
      <c r="H27" s="47"/>
    </row>
    <row r="28" spans="1:8" x14ac:dyDescent="0.25">
      <c r="A28" s="278" t="s">
        <v>168</v>
      </c>
      <c r="B28" s="169">
        <v>1956</v>
      </c>
      <c r="E28" s="35"/>
      <c r="F28" s="36"/>
      <c r="G28" s="44"/>
      <c r="H28" s="45"/>
    </row>
    <row r="29" spans="1:8" x14ac:dyDescent="0.25">
      <c r="A29" s="278" t="s">
        <v>169</v>
      </c>
      <c r="B29" s="169">
        <v>32472</v>
      </c>
      <c r="E29" s="35"/>
      <c r="F29" s="36"/>
      <c r="G29" s="46"/>
      <c r="H29" s="47"/>
    </row>
    <row r="30" spans="1:8" x14ac:dyDescent="0.25">
      <c r="A30" s="278" t="s">
        <v>795</v>
      </c>
      <c r="B30" s="169">
        <v>36120</v>
      </c>
      <c r="E30" s="37"/>
      <c r="F30" s="38"/>
      <c r="G30" s="44"/>
      <c r="H30" s="45"/>
    </row>
    <row r="31" spans="1:8" x14ac:dyDescent="0.25">
      <c r="A31" s="278" t="s">
        <v>515</v>
      </c>
      <c r="B31" s="169">
        <v>54</v>
      </c>
      <c r="E31" s="35"/>
      <c r="F31" s="36"/>
      <c r="G31" s="44"/>
      <c r="H31" s="45"/>
    </row>
    <row r="32" spans="1:8" x14ac:dyDescent="0.25">
      <c r="A32" s="278" t="s">
        <v>379</v>
      </c>
      <c r="B32" s="169">
        <v>54</v>
      </c>
      <c r="E32" s="35"/>
      <c r="F32" s="36"/>
      <c r="G32" s="46"/>
      <c r="H32" s="47"/>
    </row>
    <row r="33" spans="1:8" x14ac:dyDescent="0.25">
      <c r="A33" s="278" t="s">
        <v>171</v>
      </c>
      <c r="B33" s="169">
        <v>76</v>
      </c>
      <c r="E33" s="35"/>
      <c r="F33" s="36"/>
      <c r="G33" s="44"/>
      <c r="H33" s="45"/>
    </row>
    <row r="34" spans="1:8" x14ac:dyDescent="0.25">
      <c r="A34" s="278" t="s">
        <v>170</v>
      </c>
      <c r="B34" s="169">
        <v>104</v>
      </c>
      <c r="E34" s="35"/>
      <c r="F34" s="36"/>
      <c r="G34" s="46"/>
      <c r="H34" s="47"/>
    </row>
    <row r="35" spans="1:8" x14ac:dyDescent="0.25">
      <c r="A35" s="278" t="s">
        <v>378</v>
      </c>
      <c r="B35" s="169">
        <v>109</v>
      </c>
      <c r="E35" s="35"/>
      <c r="F35" s="36"/>
      <c r="G35" s="48"/>
      <c r="H35" s="49"/>
    </row>
    <row r="36" spans="1:8" x14ac:dyDescent="0.25">
      <c r="A36" s="278" t="s">
        <v>417</v>
      </c>
      <c r="B36" s="169">
        <v>279</v>
      </c>
      <c r="E36" s="35"/>
      <c r="F36" s="36"/>
      <c r="G36" s="50"/>
      <c r="H36" s="51"/>
    </row>
    <row r="37" spans="1:8" x14ac:dyDescent="0.25">
      <c r="A37" s="277" t="s">
        <v>172</v>
      </c>
      <c r="B37" s="169">
        <v>1022</v>
      </c>
      <c r="E37" s="35"/>
      <c r="F37" s="36"/>
      <c r="G37" s="48"/>
      <c r="H37" s="49"/>
    </row>
    <row r="38" spans="1:8" x14ac:dyDescent="0.25">
      <c r="A38" s="277" t="s">
        <v>173</v>
      </c>
      <c r="B38" s="169">
        <v>2353</v>
      </c>
      <c r="E38" s="35"/>
      <c r="F38" s="36"/>
      <c r="G38" s="48"/>
      <c r="H38" s="49"/>
    </row>
    <row r="39" spans="1:8" x14ac:dyDescent="0.25">
      <c r="A39" s="277" t="s">
        <v>174</v>
      </c>
      <c r="B39" s="169">
        <v>2804</v>
      </c>
      <c r="E39" s="35"/>
      <c r="F39" s="36"/>
      <c r="G39" s="48"/>
      <c r="H39" s="49"/>
    </row>
    <row r="40" spans="1:8" x14ac:dyDescent="0.25">
      <c r="A40" s="277" t="s">
        <v>175</v>
      </c>
      <c r="B40" s="169">
        <v>6255</v>
      </c>
      <c r="E40" s="35"/>
      <c r="F40" s="36"/>
      <c r="G40" s="50"/>
      <c r="H40" s="51"/>
    </row>
    <row r="41" spans="1:8" x14ac:dyDescent="0.25">
      <c r="A41" s="277" t="s">
        <v>176</v>
      </c>
      <c r="B41" s="169">
        <v>29087</v>
      </c>
      <c r="E41" s="35"/>
      <c r="F41" s="36"/>
      <c r="G41" s="48"/>
      <c r="H41" s="49"/>
    </row>
    <row r="42" spans="1:8" x14ac:dyDescent="0.25">
      <c r="A42" s="277" t="s">
        <v>796</v>
      </c>
      <c r="B42" s="169">
        <v>42197</v>
      </c>
      <c r="E42" s="35"/>
      <c r="F42" s="36"/>
      <c r="G42" s="48"/>
      <c r="H42" s="49"/>
    </row>
    <row r="43" spans="1:8" x14ac:dyDescent="0.25">
      <c r="A43" s="277" t="s">
        <v>785</v>
      </c>
      <c r="B43" s="169">
        <v>142693</v>
      </c>
      <c r="E43" s="35"/>
      <c r="F43" s="36"/>
      <c r="G43" s="48"/>
      <c r="H43" s="49"/>
    </row>
    <row r="44" spans="1:8" x14ac:dyDescent="0.25">
      <c r="A44" s="274"/>
      <c r="B44" s="274"/>
      <c r="C44" s="274"/>
      <c r="E44" s="35"/>
      <c r="F44" s="36"/>
      <c r="G44" s="50"/>
      <c r="H44" s="51"/>
    </row>
    <row r="45" spans="1:8" x14ac:dyDescent="0.25">
      <c r="A45" s="274"/>
      <c r="B45" s="274"/>
      <c r="C45" s="274"/>
      <c r="E45" s="37"/>
      <c r="F45" s="38"/>
      <c r="G45" s="48"/>
      <c r="H45" s="49"/>
    </row>
    <row r="46" spans="1:8" x14ac:dyDescent="0.25">
      <c r="A46" s="274"/>
      <c r="B46" s="274"/>
      <c r="C46" s="274"/>
      <c r="G46" s="48"/>
      <c r="H46" s="49"/>
    </row>
    <row r="47" spans="1:8" x14ac:dyDescent="0.25">
      <c r="A47" s="274"/>
      <c r="B47" s="274"/>
      <c r="C47" s="274"/>
      <c r="G47" s="48"/>
      <c r="H47" s="49"/>
    </row>
    <row r="48" spans="1:8" x14ac:dyDescent="0.25">
      <c r="A48" s="274"/>
      <c r="B48" s="274"/>
      <c r="G48" s="50"/>
      <c r="H48" s="51"/>
    </row>
    <row r="49" spans="7:8" x14ac:dyDescent="0.25">
      <c r="G49" s="48"/>
      <c r="H49" s="49"/>
    </row>
    <row r="50" spans="7:8" x14ac:dyDescent="0.25">
      <c r="G50" s="48"/>
      <c r="H50" s="49"/>
    </row>
    <row r="51" spans="7:8" x14ac:dyDescent="0.25">
      <c r="G51" s="48"/>
      <c r="H51" s="49"/>
    </row>
    <row r="52" spans="7:8" x14ac:dyDescent="0.25">
      <c r="G52" s="48"/>
      <c r="H52" s="49"/>
    </row>
    <row r="53" spans="7:8" x14ac:dyDescent="0.25">
      <c r="G53" s="50"/>
      <c r="H53" s="51"/>
    </row>
    <row r="54" spans="7:8" x14ac:dyDescent="0.25">
      <c r="G54" s="48"/>
      <c r="H54" s="49"/>
    </row>
    <row r="55" spans="7:8" x14ac:dyDescent="0.25">
      <c r="G55" s="48"/>
      <c r="H55" s="49"/>
    </row>
    <row r="56" spans="7:8" x14ac:dyDescent="0.25">
      <c r="G56" s="48"/>
      <c r="H56" s="49"/>
    </row>
    <row r="57" spans="7:8" x14ac:dyDescent="0.25">
      <c r="G57" s="48"/>
      <c r="H57" s="49"/>
    </row>
    <row r="58" spans="7:8" x14ac:dyDescent="0.25">
      <c r="G58" s="48"/>
      <c r="H58" s="49"/>
    </row>
    <row r="59" spans="7:8" x14ac:dyDescent="0.25">
      <c r="G59" s="48"/>
      <c r="H59" s="49"/>
    </row>
    <row r="60" spans="7:8" x14ac:dyDescent="0.25">
      <c r="G60" s="48"/>
      <c r="H60" s="49"/>
    </row>
    <row r="61" spans="7:8" x14ac:dyDescent="0.25">
      <c r="G61" s="48"/>
      <c r="H61" s="49"/>
    </row>
    <row r="62" spans="7:8" x14ac:dyDescent="0.25">
      <c r="G62" s="48"/>
      <c r="H62" s="49"/>
    </row>
    <row r="63" spans="7:8" x14ac:dyDescent="0.25">
      <c r="G63" s="48"/>
      <c r="H63" s="49"/>
    </row>
    <row r="64" spans="7:8" x14ac:dyDescent="0.25">
      <c r="G64" s="48"/>
      <c r="H64" s="49"/>
    </row>
    <row r="65" spans="7:8" x14ac:dyDescent="0.25">
      <c r="G65" s="48"/>
      <c r="H65" s="49"/>
    </row>
    <row r="66" spans="7:8" x14ac:dyDescent="0.25">
      <c r="G66" s="48"/>
      <c r="H66" s="49"/>
    </row>
    <row r="67" spans="7:8" x14ac:dyDescent="0.25">
      <c r="G67" s="48"/>
      <c r="H67" s="49"/>
    </row>
    <row r="68" spans="7:8" x14ac:dyDescent="0.25">
      <c r="G68" s="48"/>
      <c r="H68" s="49"/>
    </row>
    <row r="69" spans="7:8" x14ac:dyDescent="0.25">
      <c r="G69" s="48"/>
      <c r="H69" s="49"/>
    </row>
    <row r="70" spans="7:8" x14ac:dyDescent="0.25">
      <c r="G70" s="50"/>
      <c r="H70" s="51"/>
    </row>
    <row r="71" spans="7:8" x14ac:dyDescent="0.25">
      <c r="G71" s="48"/>
      <c r="H71" s="49"/>
    </row>
    <row r="72" spans="7:8" x14ac:dyDescent="0.25">
      <c r="G72" s="48"/>
      <c r="H72" s="49"/>
    </row>
    <row r="73" spans="7:8" x14ac:dyDescent="0.25">
      <c r="G73" s="48"/>
      <c r="H73" s="49"/>
    </row>
    <row r="74" spans="7:8" x14ac:dyDescent="0.25">
      <c r="G74" s="48"/>
      <c r="H74" s="49"/>
    </row>
    <row r="75" spans="7:8" x14ac:dyDescent="0.25">
      <c r="G75" s="48"/>
      <c r="H75" s="49"/>
    </row>
    <row r="76" spans="7:8" x14ac:dyDescent="0.25">
      <c r="G76" s="48"/>
      <c r="H76" s="49"/>
    </row>
    <row r="77" spans="7:8" x14ac:dyDescent="0.25">
      <c r="G77" s="48"/>
      <c r="H77" s="49"/>
    </row>
    <row r="78" spans="7:8" x14ac:dyDescent="0.25">
      <c r="G78" s="48"/>
      <c r="H78" s="49"/>
    </row>
    <row r="79" spans="7:8" x14ac:dyDescent="0.25">
      <c r="G79" s="48"/>
      <c r="H79" s="49"/>
    </row>
    <row r="80" spans="7:8" x14ac:dyDescent="0.25">
      <c r="G80" s="48"/>
      <c r="H80" s="49"/>
    </row>
    <row r="81" spans="7:8" x14ac:dyDescent="0.25">
      <c r="G81" s="48"/>
      <c r="H81" s="49"/>
    </row>
    <row r="82" spans="7:8" x14ac:dyDescent="0.25">
      <c r="G82" s="48"/>
      <c r="H82" s="49"/>
    </row>
    <row r="83" spans="7:8" x14ac:dyDescent="0.25">
      <c r="G83" s="50"/>
      <c r="H83" s="51"/>
    </row>
  </sheetData>
  <sortState xmlns:xlrd2="http://schemas.microsoft.com/office/spreadsheetml/2017/richdata2" ref="A31:B32">
    <sortCondition descending="1" ref="B31:B32"/>
  </sortState>
  <mergeCells count="2">
    <mergeCell ref="A3:B3"/>
    <mergeCell ref="A4:B4"/>
  </mergeCells>
  <conditionalFormatting sqref="A6:B47">
    <cfRule type="expression" dxfId="23" priority="1">
      <formula>LEFT($A6,5)="Total"</formula>
    </cfRule>
    <cfRule type="expression" dxfId="22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35"/>
  <dimension ref="A1:H43"/>
  <sheetViews>
    <sheetView showGridLines="0" workbookViewId="0">
      <selection activeCell="A5" sqref="A5:B55"/>
    </sheetView>
  </sheetViews>
  <sheetFormatPr defaultRowHeight="15" x14ac:dyDescent="0.25"/>
  <cols>
    <col min="1" max="1" width="21" bestFit="1" customWidth="1"/>
    <col min="2" max="2" width="34.5703125" customWidth="1"/>
    <col min="5" max="5" width="11.140625" customWidth="1"/>
    <col min="6" max="6" width="11.85546875" bestFit="1" customWidth="1"/>
    <col min="7" max="7" width="10.5703125" bestFit="1" customWidth="1"/>
  </cols>
  <sheetData>
    <row r="1" spans="1:8" x14ac:dyDescent="0.25">
      <c r="C1" s="78"/>
      <c r="D1" s="78"/>
      <c r="E1" s="78"/>
      <c r="F1" s="78"/>
      <c r="G1" s="78" t="s">
        <v>1169</v>
      </c>
      <c r="H1" s="78" t="s">
        <v>1170</v>
      </c>
    </row>
    <row r="3" spans="1:8" x14ac:dyDescent="0.25">
      <c r="A3" s="350" t="str">
        <f>"Tabela Referente à "&amp;G1</f>
        <v>Tabela Referente à Figura 2.24</v>
      </c>
      <c r="B3" s="350"/>
    </row>
    <row r="4" spans="1:8" x14ac:dyDescent="0.25">
      <c r="A4" s="351" t="str">
        <f>H1</f>
        <v>Decolagens por estado e aeroporto – região Sul, 2018</v>
      </c>
      <c r="B4" s="351"/>
    </row>
    <row r="5" spans="1:8" x14ac:dyDescent="0.25">
      <c r="A5" s="1" t="s">
        <v>101</v>
      </c>
      <c r="B5" s="21" t="s">
        <v>64</v>
      </c>
      <c r="C5" s="78" t="str">
        <f>MID(A28,7,LEN(A28))&amp;" "&amp;TEXT(B28,"#.##")&amp;" decolagens"</f>
        <v>Região Sul 108.859 decolagens</v>
      </c>
      <c r="F5" s="38"/>
      <c r="G5" s="8"/>
    </row>
    <row r="6" spans="1:8" x14ac:dyDescent="0.25">
      <c r="A6" s="276" t="s">
        <v>516</v>
      </c>
      <c r="B6" s="168">
        <v>222</v>
      </c>
      <c r="E6" s="35"/>
      <c r="F6" s="36"/>
      <c r="G6" s="8"/>
    </row>
    <row r="7" spans="1:8" x14ac:dyDescent="0.25">
      <c r="A7" s="276" t="s">
        <v>451</v>
      </c>
      <c r="B7" s="168">
        <v>608</v>
      </c>
      <c r="E7" s="37"/>
      <c r="F7" s="36"/>
      <c r="G7" s="8"/>
    </row>
    <row r="8" spans="1:8" x14ac:dyDescent="0.25">
      <c r="A8" s="276" t="s">
        <v>188</v>
      </c>
      <c r="B8" s="168">
        <v>2200</v>
      </c>
      <c r="E8" s="35"/>
      <c r="F8" s="36"/>
      <c r="G8" s="8"/>
    </row>
    <row r="9" spans="1:8" x14ac:dyDescent="0.25">
      <c r="A9" s="276" t="s">
        <v>189</v>
      </c>
      <c r="B9" s="168">
        <v>2490</v>
      </c>
      <c r="C9" s="29"/>
      <c r="E9" s="35"/>
      <c r="F9" s="36"/>
      <c r="G9" s="8"/>
    </row>
    <row r="10" spans="1:8" x14ac:dyDescent="0.25">
      <c r="A10" s="276" t="s">
        <v>190</v>
      </c>
      <c r="B10" s="168">
        <v>7787</v>
      </c>
      <c r="C10" s="29"/>
      <c r="E10" s="35"/>
      <c r="F10" s="36"/>
      <c r="G10" s="8"/>
    </row>
    <row r="11" spans="1:8" x14ac:dyDescent="0.25">
      <c r="A11" s="276" t="s">
        <v>191</v>
      </c>
      <c r="B11" s="168">
        <v>14837</v>
      </c>
      <c r="C11" s="29"/>
      <c r="E11" s="35"/>
      <c r="F11" s="36"/>
      <c r="G11" s="8"/>
    </row>
    <row r="12" spans="1:8" x14ac:dyDescent="0.25">
      <c r="A12" s="276" t="s">
        <v>798</v>
      </c>
      <c r="B12" s="168">
        <v>28144</v>
      </c>
      <c r="E12" s="35"/>
      <c r="F12" s="36"/>
      <c r="G12" s="8"/>
    </row>
    <row r="13" spans="1:8" x14ac:dyDescent="0.25">
      <c r="A13" s="276" t="s">
        <v>566</v>
      </c>
      <c r="B13" s="168">
        <v>203</v>
      </c>
      <c r="E13" s="35"/>
      <c r="F13" s="36"/>
      <c r="G13" s="8"/>
    </row>
    <row r="14" spans="1:8" x14ac:dyDescent="0.25">
      <c r="A14" s="276" t="s">
        <v>452</v>
      </c>
      <c r="B14" s="168">
        <v>207</v>
      </c>
      <c r="E14" s="35"/>
      <c r="F14" s="36"/>
      <c r="G14" s="8"/>
    </row>
    <row r="15" spans="1:8" x14ac:dyDescent="0.25">
      <c r="A15" s="276" t="s">
        <v>192</v>
      </c>
      <c r="B15" s="168">
        <v>296</v>
      </c>
      <c r="E15" s="35"/>
      <c r="F15" s="36"/>
      <c r="G15" s="8"/>
    </row>
    <row r="16" spans="1:8" x14ac:dyDescent="0.25">
      <c r="A16" s="276" t="s">
        <v>193</v>
      </c>
      <c r="B16" s="168">
        <v>308</v>
      </c>
      <c r="E16" s="35"/>
      <c r="F16" s="36"/>
      <c r="G16" s="8"/>
    </row>
    <row r="17" spans="1:7" x14ac:dyDescent="0.25">
      <c r="A17" s="276" t="s">
        <v>194</v>
      </c>
      <c r="B17" s="168">
        <v>704</v>
      </c>
      <c r="E17" s="35"/>
      <c r="F17" s="38"/>
      <c r="G17" s="8"/>
    </row>
    <row r="18" spans="1:7" x14ac:dyDescent="0.25">
      <c r="A18" s="276" t="s">
        <v>195</v>
      </c>
      <c r="B18" s="168">
        <v>933</v>
      </c>
      <c r="E18" s="35"/>
      <c r="F18" s="36"/>
      <c r="G18" s="8"/>
    </row>
    <row r="19" spans="1:7" x14ac:dyDescent="0.25">
      <c r="A19" s="276" t="s">
        <v>196</v>
      </c>
      <c r="B19" s="168">
        <v>31429</v>
      </c>
      <c r="E19" s="35"/>
      <c r="F19" s="36"/>
      <c r="G19" s="8"/>
    </row>
    <row r="20" spans="1:7" x14ac:dyDescent="0.25">
      <c r="A20" s="276" t="s">
        <v>799</v>
      </c>
      <c r="B20" s="168">
        <v>34080</v>
      </c>
      <c r="E20" s="35"/>
      <c r="F20" s="36"/>
      <c r="G20" s="8"/>
    </row>
    <row r="21" spans="1:7" x14ac:dyDescent="0.25">
      <c r="A21" s="276" t="s">
        <v>517</v>
      </c>
      <c r="B21" s="168">
        <v>160</v>
      </c>
      <c r="E21" s="35"/>
      <c r="F21" s="36"/>
      <c r="G21" s="8"/>
    </row>
    <row r="22" spans="1:7" x14ac:dyDescent="0.25">
      <c r="A22" s="276" t="s">
        <v>197</v>
      </c>
      <c r="B22" s="168">
        <v>1267</v>
      </c>
      <c r="E22" s="35"/>
      <c r="F22" s="36"/>
      <c r="G22" s="8"/>
    </row>
    <row r="23" spans="1:7" x14ac:dyDescent="0.25">
      <c r="A23" s="276" t="s">
        <v>198</v>
      </c>
      <c r="B23" s="168">
        <v>3594</v>
      </c>
      <c r="E23" s="35"/>
      <c r="F23" s="36"/>
      <c r="G23" s="8"/>
    </row>
    <row r="24" spans="1:7" x14ac:dyDescent="0.25">
      <c r="A24" s="276" t="s">
        <v>199</v>
      </c>
      <c r="B24" s="168">
        <v>5073</v>
      </c>
      <c r="E24" s="37"/>
      <c r="F24" s="36"/>
      <c r="G24" s="8"/>
    </row>
    <row r="25" spans="1:7" x14ac:dyDescent="0.25">
      <c r="A25" s="276" t="s">
        <v>200</v>
      </c>
      <c r="B25" s="168">
        <v>8036</v>
      </c>
      <c r="E25" s="35"/>
      <c r="F25" s="36"/>
      <c r="G25" s="8"/>
    </row>
    <row r="26" spans="1:7" x14ac:dyDescent="0.25">
      <c r="A26" s="276" t="s">
        <v>201</v>
      </c>
      <c r="B26" s="168">
        <v>28505</v>
      </c>
      <c r="E26" s="35"/>
      <c r="F26" s="36"/>
      <c r="G26" s="8"/>
    </row>
    <row r="27" spans="1:7" x14ac:dyDescent="0.25">
      <c r="A27" s="276" t="s">
        <v>800</v>
      </c>
      <c r="B27" s="168">
        <v>46635</v>
      </c>
      <c r="E27" s="35"/>
      <c r="F27" s="36"/>
      <c r="G27" s="8"/>
    </row>
    <row r="28" spans="1:7" x14ac:dyDescent="0.25">
      <c r="A28" s="276" t="s">
        <v>801</v>
      </c>
      <c r="B28" s="168">
        <v>108859</v>
      </c>
      <c r="E28" s="35"/>
      <c r="F28" s="36"/>
      <c r="G28" s="8"/>
    </row>
    <row r="29" spans="1:7" x14ac:dyDescent="0.25">
      <c r="A29" s="78" t="s">
        <v>68</v>
      </c>
      <c r="B29" s="78" t="s">
        <v>68</v>
      </c>
      <c r="E29" s="35"/>
      <c r="F29" s="38"/>
      <c r="G29" s="8"/>
    </row>
    <row r="30" spans="1:7" x14ac:dyDescent="0.25">
      <c r="A30" s="78" t="s">
        <v>68</v>
      </c>
      <c r="B30" s="78" t="s">
        <v>68</v>
      </c>
      <c r="E30" s="35"/>
      <c r="F30" s="36"/>
      <c r="G30" s="8"/>
    </row>
    <row r="31" spans="1:7" x14ac:dyDescent="0.25">
      <c r="E31" s="37"/>
      <c r="G31" s="8"/>
    </row>
    <row r="32" spans="1:7" x14ac:dyDescent="0.25">
      <c r="E32" s="35"/>
      <c r="F32" s="36"/>
      <c r="G32" s="8"/>
    </row>
    <row r="33" spans="5:6" x14ac:dyDescent="0.25">
      <c r="E33" s="35"/>
      <c r="F33" s="36"/>
    </row>
    <row r="34" spans="5:6" x14ac:dyDescent="0.25">
      <c r="E34" s="35"/>
      <c r="F34" s="36"/>
    </row>
    <row r="35" spans="5:6" x14ac:dyDescent="0.25">
      <c r="E35" s="35"/>
      <c r="F35" s="36"/>
    </row>
    <row r="36" spans="5:6" x14ac:dyDescent="0.25">
      <c r="E36" s="35"/>
      <c r="F36" s="36"/>
    </row>
    <row r="37" spans="5:6" x14ac:dyDescent="0.25">
      <c r="E37" s="35"/>
      <c r="F37" s="36"/>
    </row>
    <row r="38" spans="5:6" x14ac:dyDescent="0.25">
      <c r="E38" s="35"/>
      <c r="F38" s="36"/>
    </row>
    <row r="39" spans="5:6" x14ac:dyDescent="0.25">
      <c r="E39" s="35"/>
      <c r="F39" s="36"/>
    </row>
    <row r="40" spans="5:6" x14ac:dyDescent="0.25">
      <c r="E40" s="35"/>
      <c r="F40" s="36"/>
    </row>
    <row r="41" spans="5:6" x14ac:dyDescent="0.25">
      <c r="E41" s="35"/>
      <c r="F41" s="36"/>
    </row>
    <row r="42" spans="5:6" x14ac:dyDescent="0.25">
      <c r="E42" s="35"/>
      <c r="F42" s="36"/>
    </row>
    <row r="43" spans="5:6" x14ac:dyDescent="0.25">
      <c r="E43" s="37"/>
      <c r="F43" s="38"/>
    </row>
  </sheetData>
  <sortState xmlns:xlrd2="http://schemas.microsoft.com/office/spreadsheetml/2017/richdata2" ref="F25:G30">
    <sortCondition descending="1" ref="G25:G30"/>
  </sortState>
  <mergeCells count="2">
    <mergeCell ref="A3:B3"/>
    <mergeCell ref="A4:B4"/>
  </mergeCells>
  <conditionalFormatting sqref="A6:B29">
    <cfRule type="expression" dxfId="21" priority="1">
      <formula>LEFT($A6,5)="Total"</formula>
    </cfRule>
    <cfRule type="expression" dxfId="20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36"/>
  <dimension ref="A1:H36"/>
  <sheetViews>
    <sheetView showGridLines="0" workbookViewId="0">
      <selection activeCell="A5" sqref="A5:B55"/>
    </sheetView>
  </sheetViews>
  <sheetFormatPr defaultRowHeight="15" x14ac:dyDescent="0.25"/>
  <cols>
    <col min="1" max="1" width="26.28515625" bestFit="1" customWidth="1"/>
    <col min="2" max="2" width="37.85546875" customWidth="1"/>
    <col min="5" max="5" width="11.140625" customWidth="1"/>
    <col min="6" max="6" width="11.85546875" bestFit="1" customWidth="1"/>
    <col min="7" max="7" width="10.5703125" bestFit="1" customWidth="1"/>
  </cols>
  <sheetData>
    <row r="1" spans="1:8" x14ac:dyDescent="0.25">
      <c r="C1" s="78"/>
      <c r="D1" s="78"/>
      <c r="E1" s="78"/>
      <c r="F1" s="78"/>
      <c r="G1" s="78" t="s">
        <v>1171</v>
      </c>
      <c r="H1" s="78" t="s">
        <v>1172</v>
      </c>
    </row>
    <row r="3" spans="1:8" x14ac:dyDescent="0.25">
      <c r="A3" s="350" t="str">
        <f>"Tabela Referente à "&amp;G1</f>
        <v>Tabela Referente à Figura 2.25</v>
      </c>
      <c r="B3" s="350"/>
    </row>
    <row r="4" spans="1:8" x14ac:dyDescent="0.25">
      <c r="A4" s="351" t="str">
        <f>H1</f>
        <v>Decolagens por estado e aeroporto – região Centro-Oeste, 2018</v>
      </c>
      <c r="B4" s="351"/>
    </row>
    <row r="5" spans="1:8" x14ac:dyDescent="0.25">
      <c r="A5" s="1" t="s">
        <v>101</v>
      </c>
      <c r="B5" s="21" t="s">
        <v>64</v>
      </c>
      <c r="C5" s="78" t="str">
        <f>MID(A26,7,LEN(A26))&amp;" "&amp;TEXT(B26,"#.##")&amp;" decolagens"</f>
        <v>Região Centro-Oeste 105.818 decolagens</v>
      </c>
      <c r="F5" s="38"/>
      <c r="G5" s="8"/>
    </row>
    <row r="6" spans="1:8" x14ac:dyDescent="0.25">
      <c r="A6" s="276" t="s">
        <v>802</v>
      </c>
      <c r="B6" s="168">
        <v>1</v>
      </c>
      <c r="E6" s="35"/>
      <c r="F6" s="54"/>
      <c r="G6" s="55"/>
    </row>
    <row r="7" spans="1:8" x14ac:dyDescent="0.25">
      <c r="A7" s="276" t="s">
        <v>177</v>
      </c>
      <c r="B7" s="168">
        <v>184</v>
      </c>
      <c r="C7" s="29"/>
      <c r="E7" s="35"/>
      <c r="F7" s="54"/>
      <c r="G7" s="55"/>
    </row>
    <row r="8" spans="1:8" x14ac:dyDescent="0.25">
      <c r="A8" s="276" t="s">
        <v>179</v>
      </c>
      <c r="B8" s="168">
        <v>232</v>
      </c>
      <c r="C8" s="29"/>
      <c r="E8" s="35"/>
      <c r="F8" s="54"/>
      <c r="G8" s="55"/>
    </row>
    <row r="9" spans="1:8" x14ac:dyDescent="0.25">
      <c r="A9" s="276" t="s">
        <v>418</v>
      </c>
      <c r="B9" s="168">
        <v>458</v>
      </c>
      <c r="E9" s="35"/>
      <c r="F9" s="54"/>
      <c r="G9" s="55"/>
    </row>
    <row r="10" spans="1:8" x14ac:dyDescent="0.25">
      <c r="A10" s="276" t="s">
        <v>178</v>
      </c>
      <c r="B10" s="168">
        <v>598</v>
      </c>
      <c r="E10" s="35"/>
      <c r="F10" s="54"/>
      <c r="G10" s="55"/>
    </row>
    <row r="11" spans="1:8" x14ac:dyDescent="0.25">
      <c r="A11" s="276" t="s">
        <v>180</v>
      </c>
      <c r="B11" s="168">
        <v>6724</v>
      </c>
      <c r="E11" s="35"/>
      <c r="F11" s="54"/>
      <c r="G11" s="55"/>
    </row>
    <row r="12" spans="1:8" x14ac:dyDescent="0.25">
      <c r="A12" s="276" t="s">
        <v>803</v>
      </c>
      <c r="B12" s="168">
        <v>8197</v>
      </c>
      <c r="E12" s="35"/>
      <c r="F12" s="54"/>
      <c r="G12" s="55"/>
    </row>
    <row r="13" spans="1:8" x14ac:dyDescent="0.25">
      <c r="A13" s="276" t="s">
        <v>518</v>
      </c>
      <c r="B13" s="168">
        <v>213</v>
      </c>
      <c r="E13" s="35"/>
      <c r="F13" s="54"/>
      <c r="G13" s="55"/>
    </row>
    <row r="14" spans="1:8" x14ac:dyDescent="0.25">
      <c r="A14" s="276" t="s">
        <v>519</v>
      </c>
      <c r="B14" s="168">
        <v>262</v>
      </c>
      <c r="E14" s="35"/>
      <c r="F14" s="54"/>
      <c r="G14" s="55"/>
    </row>
    <row r="15" spans="1:8" x14ac:dyDescent="0.25">
      <c r="A15" s="276" t="s">
        <v>181</v>
      </c>
      <c r="B15" s="168">
        <v>358</v>
      </c>
      <c r="E15" s="35"/>
      <c r="F15" s="56"/>
      <c r="G15" s="57"/>
    </row>
    <row r="16" spans="1:8" x14ac:dyDescent="0.25">
      <c r="A16" s="276" t="s">
        <v>457</v>
      </c>
      <c r="B16" s="168">
        <v>550</v>
      </c>
      <c r="E16" s="35"/>
      <c r="F16" s="54"/>
      <c r="G16" s="55"/>
    </row>
    <row r="17" spans="1:7" x14ac:dyDescent="0.25">
      <c r="A17" s="276" t="s">
        <v>182</v>
      </c>
      <c r="B17" s="168">
        <v>778</v>
      </c>
      <c r="E17" s="35"/>
      <c r="F17" s="54"/>
      <c r="G17" s="55"/>
    </row>
    <row r="18" spans="1:7" x14ac:dyDescent="0.25">
      <c r="A18" s="276" t="s">
        <v>183</v>
      </c>
      <c r="B18" s="168">
        <v>13911</v>
      </c>
      <c r="E18" s="35"/>
      <c r="F18" s="54"/>
      <c r="G18" s="55"/>
    </row>
    <row r="19" spans="1:7" x14ac:dyDescent="0.25">
      <c r="A19" s="276" t="s">
        <v>804</v>
      </c>
      <c r="B19" s="168">
        <v>16072</v>
      </c>
      <c r="E19" s="35"/>
      <c r="F19" s="54"/>
      <c r="G19" s="55"/>
    </row>
    <row r="20" spans="1:7" x14ac:dyDescent="0.25">
      <c r="A20" s="276" t="s">
        <v>184</v>
      </c>
      <c r="B20" s="168">
        <v>298</v>
      </c>
      <c r="E20" s="35"/>
      <c r="F20" s="56"/>
      <c r="G20" s="57"/>
    </row>
    <row r="21" spans="1:7" x14ac:dyDescent="0.25">
      <c r="A21" s="276" t="s">
        <v>185</v>
      </c>
      <c r="B21" s="168">
        <v>614</v>
      </c>
      <c r="E21" s="37"/>
      <c r="F21" s="54"/>
      <c r="G21" s="55"/>
    </row>
    <row r="22" spans="1:7" x14ac:dyDescent="0.25">
      <c r="A22" s="276" t="s">
        <v>186</v>
      </c>
      <c r="B22" s="168">
        <v>15267</v>
      </c>
      <c r="E22" s="35"/>
      <c r="F22" s="54"/>
      <c r="G22" s="55"/>
    </row>
    <row r="23" spans="1:7" x14ac:dyDescent="0.25">
      <c r="A23" s="276" t="s">
        <v>805</v>
      </c>
      <c r="B23" s="168">
        <v>16179</v>
      </c>
      <c r="E23" s="35"/>
      <c r="F23" s="54"/>
      <c r="G23" s="55"/>
    </row>
    <row r="24" spans="1:7" x14ac:dyDescent="0.25">
      <c r="A24" s="276" t="s">
        <v>187</v>
      </c>
      <c r="B24" s="168">
        <v>65370</v>
      </c>
      <c r="E24" s="35"/>
      <c r="F24" s="54"/>
      <c r="G24" s="55"/>
    </row>
    <row r="25" spans="1:7" x14ac:dyDescent="0.25">
      <c r="A25" s="276" t="s">
        <v>806</v>
      </c>
      <c r="B25" s="168">
        <v>65370</v>
      </c>
      <c r="E25" s="35"/>
      <c r="F25" s="54"/>
      <c r="G25" s="55"/>
    </row>
    <row r="26" spans="1:7" x14ac:dyDescent="0.25">
      <c r="A26" s="276" t="s">
        <v>807</v>
      </c>
      <c r="B26" s="168">
        <v>105818</v>
      </c>
      <c r="E26" s="35"/>
      <c r="F26" s="56"/>
      <c r="G26" s="57"/>
    </row>
    <row r="27" spans="1:7" x14ac:dyDescent="0.25">
      <c r="E27" s="35"/>
      <c r="F27" s="36"/>
    </row>
    <row r="28" spans="1:7" x14ac:dyDescent="0.25">
      <c r="E28" s="35"/>
      <c r="F28" s="36"/>
    </row>
    <row r="29" spans="1:7" x14ac:dyDescent="0.25">
      <c r="E29" s="35"/>
      <c r="F29" s="36"/>
    </row>
    <row r="30" spans="1:7" x14ac:dyDescent="0.25">
      <c r="E30" s="35"/>
      <c r="F30" s="36"/>
    </row>
    <row r="31" spans="1:7" x14ac:dyDescent="0.25">
      <c r="E31" s="35"/>
      <c r="F31" s="36"/>
    </row>
    <row r="32" spans="1:7" x14ac:dyDescent="0.25">
      <c r="E32" s="35"/>
      <c r="F32" s="36"/>
    </row>
    <row r="33" spans="5:6" x14ac:dyDescent="0.25">
      <c r="E33" s="35"/>
      <c r="F33" s="36"/>
    </row>
    <row r="34" spans="5:6" x14ac:dyDescent="0.25">
      <c r="E34" s="35"/>
      <c r="F34" s="36"/>
    </row>
    <row r="35" spans="5:6" x14ac:dyDescent="0.25">
      <c r="E35" s="35"/>
      <c r="F35" s="36"/>
    </row>
    <row r="36" spans="5:6" x14ac:dyDescent="0.25">
      <c r="E36" s="37"/>
      <c r="F36" s="38"/>
    </row>
  </sheetData>
  <sortState xmlns:xlrd2="http://schemas.microsoft.com/office/spreadsheetml/2017/richdata2" ref="F8:G16">
    <sortCondition descending="1" ref="G8:G16"/>
  </sortState>
  <mergeCells count="2">
    <mergeCell ref="A3:B3"/>
    <mergeCell ref="A4:B4"/>
  </mergeCells>
  <conditionalFormatting sqref="A6:B25">
    <cfRule type="expression" dxfId="19" priority="3">
      <formula>LEFT($A6,5)="Total"</formula>
    </cfRule>
    <cfRule type="expression" dxfId="18" priority="4">
      <formula>RIGHT($A6,5)="Total"</formula>
    </cfRule>
  </conditionalFormatting>
  <conditionalFormatting sqref="A26:B26">
    <cfRule type="expression" dxfId="17" priority="1">
      <formula>LEFT($A26,5)="Total"</formula>
    </cfRule>
    <cfRule type="expression" dxfId="16" priority="2">
      <formula>RIGHT($A26,5)="Total"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37"/>
  <dimension ref="A1:H53"/>
  <sheetViews>
    <sheetView showGridLines="0" workbookViewId="0">
      <selection activeCell="A5" sqref="A5:B55"/>
    </sheetView>
  </sheetViews>
  <sheetFormatPr defaultRowHeight="15" x14ac:dyDescent="0.25"/>
  <cols>
    <col min="1" max="1" width="21" bestFit="1" customWidth="1"/>
    <col min="2" max="2" width="37.85546875" customWidth="1"/>
    <col min="5" max="5" width="11.140625" customWidth="1"/>
  </cols>
  <sheetData>
    <row r="1" spans="1:8" x14ac:dyDescent="0.25">
      <c r="C1" s="78"/>
      <c r="D1" s="78"/>
      <c r="E1" s="78"/>
      <c r="F1" s="78"/>
      <c r="G1" s="78" t="s">
        <v>1173</v>
      </c>
      <c r="H1" s="78" t="s">
        <v>1174</v>
      </c>
    </row>
    <row r="3" spans="1:8" x14ac:dyDescent="0.25">
      <c r="A3" s="350" t="str">
        <f>"Tabela Referente à "&amp;G1</f>
        <v>Tabela Referente à Figura 2.26</v>
      </c>
      <c r="B3" s="350"/>
    </row>
    <row r="4" spans="1:8" x14ac:dyDescent="0.25">
      <c r="A4" s="351" t="str">
        <f>H1</f>
        <v>Decolagens por estado e aeroporto – região Norte, 2018</v>
      </c>
      <c r="B4" s="351"/>
    </row>
    <row r="5" spans="1:8" x14ac:dyDescent="0.25">
      <c r="A5" s="1" t="s">
        <v>101</v>
      </c>
      <c r="B5" s="21" t="s">
        <v>64</v>
      </c>
      <c r="C5" s="78" t="str">
        <f>MID(A42,7,LEN(A42))&amp;" "&amp;TEXT(B42,"#.##")&amp;" decolagens"</f>
        <v>Região Norte 49.246 decolagens</v>
      </c>
      <c r="E5" s="48"/>
      <c r="F5" s="49"/>
    </row>
    <row r="6" spans="1:8" x14ac:dyDescent="0.25">
      <c r="A6" s="276" t="s">
        <v>202</v>
      </c>
      <c r="B6" s="168">
        <v>1115</v>
      </c>
      <c r="E6" s="48"/>
      <c r="F6" s="49"/>
    </row>
    <row r="7" spans="1:8" x14ac:dyDescent="0.25">
      <c r="A7" s="276" t="s">
        <v>808</v>
      </c>
      <c r="B7" s="168">
        <v>1115</v>
      </c>
      <c r="E7" s="48"/>
      <c r="F7" s="49"/>
    </row>
    <row r="8" spans="1:8" x14ac:dyDescent="0.25">
      <c r="A8" s="276" t="s">
        <v>203</v>
      </c>
      <c r="B8" s="168">
        <v>399</v>
      </c>
      <c r="E8" s="48"/>
      <c r="F8" s="49"/>
    </row>
    <row r="9" spans="1:8" x14ac:dyDescent="0.25">
      <c r="A9" s="276" t="s">
        <v>204</v>
      </c>
      <c r="B9" s="168">
        <v>1736</v>
      </c>
      <c r="C9" s="29"/>
      <c r="E9" s="48"/>
      <c r="F9" s="49"/>
    </row>
    <row r="10" spans="1:8" x14ac:dyDescent="0.25">
      <c r="A10" s="276" t="s">
        <v>809</v>
      </c>
      <c r="B10" s="168">
        <v>2135</v>
      </c>
      <c r="C10" s="29"/>
      <c r="E10" s="48"/>
      <c r="F10" s="49"/>
    </row>
    <row r="11" spans="1:8" x14ac:dyDescent="0.25">
      <c r="A11" s="276" t="s">
        <v>205</v>
      </c>
      <c r="B11" s="168">
        <v>2160</v>
      </c>
      <c r="E11" s="48"/>
      <c r="F11" s="49"/>
    </row>
    <row r="12" spans="1:8" x14ac:dyDescent="0.25">
      <c r="A12" s="276" t="s">
        <v>810</v>
      </c>
      <c r="B12" s="168">
        <v>2160</v>
      </c>
      <c r="E12" s="48"/>
      <c r="F12" s="49"/>
    </row>
    <row r="13" spans="1:8" x14ac:dyDescent="0.25">
      <c r="A13" s="276" t="s">
        <v>206</v>
      </c>
      <c r="B13" s="168">
        <v>353</v>
      </c>
      <c r="E13" s="48"/>
      <c r="F13" s="49"/>
    </row>
    <row r="14" spans="1:8" x14ac:dyDescent="0.25">
      <c r="A14" s="276" t="s">
        <v>207</v>
      </c>
      <c r="B14" s="168">
        <v>3376</v>
      </c>
      <c r="E14" s="48"/>
      <c r="F14" s="49"/>
    </row>
    <row r="15" spans="1:8" x14ac:dyDescent="0.25">
      <c r="A15" s="276" t="s">
        <v>811</v>
      </c>
      <c r="B15" s="168">
        <v>3729</v>
      </c>
      <c r="E15" s="48"/>
      <c r="F15" s="49"/>
    </row>
    <row r="16" spans="1:8" x14ac:dyDescent="0.25">
      <c r="A16" s="276" t="s">
        <v>209</v>
      </c>
      <c r="B16" s="168">
        <v>298</v>
      </c>
      <c r="E16" s="48"/>
      <c r="F16" s="49"/>
    </row>
    <row r="17" spans="1:6" x14ac:dyDescent="0.25">
      <c r="A17" s="276" t="s">
        <v>208</v>
      </c>
      <c r="B17" s="168">
        <v>342</v>
      </c>
      <c r="E17" s="50"/>
      <c r="F17" s="51"/>
    </row>
    <row r="18" spans="1:6" x14ac:dyDescent="0.25">
      <c r="A18" s="276" t="s">
        <v>210</v>
      </c>
      <c r="B18" s="168">
        <v>344</v>
      </c>
      <c r="E18" s="48"/>
      <c r="F18" s="49"/>
    </row>
    <row r="19" spans="1:6" x14ac:dyDescent="0.25">
      <c r="A19" s="276" t="s">
        <v>211</v>
      </c>
      <c r="B19" s="168">
        <v>3851</v>
      </c>
      <c r="E19" s="48"/>
      <c r="F19" s="49"/>
    </row>
    <row r="20" spans="1:6" x14ac:dyDescent="0.25">
      <c r="A20" s="276" t="s">
        <v>812</v>
      </c>
      <c r="B20" s="168">
        <v>4835</v>
      </c>
      <c r="E20" s="48"/>
      <c r="F20" s="49"/>
    </row>
    <row r="21" spans="1:6" x14ac:dyDescent="0.25">
      <c r="A21" s="276" t="s">
        <v>813</v>
      </c>
      <c r="B21" s="168">
        <v>1</v>
      </c>
      <c r="E21" s="48"/>
      <c r="F21" s="49"/>
    </row>
    <row r="22" spans="1:6" x14ac:dyDescent="0.25">
      <c r="A22" s="276" t="s">
        <v>214</v>
      </c>
      <c r="B22" s="168">
        <v>53</v>
      </c>
      <c r="E22" s="48"/>
      <c r="F22" s="49"/>
    </row>
    <row r="23" spans="1:6" x14ac:dyDescent="0.25">
      <c r="A23" s="276" t="s">
        <v>212</v>
      </c>
      <c r="B23" s="168">
        <v>66</v>
      </c>
      <c r="E23" s="48"/>
      <c r="F23" s="49"/>
    </row>
    <row r="24" spans="1:6" x14ac:dyDescent="0.25">
      <c r="A24" s="276" t="s">
        <v>217</v>
      </c>
      <c r="B24" s="168">
        <v>80</v>
      </c>
      <c r="E24" s="48"/>
      <c r="F24" s="49"/>
    </row>
    <row r="25" spans="1:6" x14ac:dyDescent="0.25">
      <c r="A25" s="276" t="s">
        <v>216</v>
      </c>
      <c r="B25" s="168">
        <v>106</v>
      </c>
      <c r="E25" s="48"/>
      <c r="F25" s="49"/>
    </row>
    <row r="26" spans="1:6" x14ac:dyDescent="0.25">
      <c r="A26" s="276" t="s">
        <v>215</v>
      </c>
      <c r="B26" s="168">
        <v>106</v>
      </c>
      <c r="E26" s="48"/>
      <c r="F26" s="49"/>
    </row>
    <row r="27" spans="1:6" x14ac:dyDescent="0.25">
      <c r="A27" s="276" t="s">
        <v>213</v>
      </c>
      <c r="B27" s="168">
        <v>265</v>
      </c>
      <c r="E27" s="48"/>
      <c r="F27" s="49"/>
    </row>
    <row r="28" spans="1:6" x14ac:dyDescent="0.25">
      <c r="A28" s="276" t="s">
        <v>218</v>
      </c>
      <c r="B28" s="168">
        <v>357</v>
      </c>
      <c r="E28" s="48"/>
      <c r="F28" s="49"/>
    </row>
    <row r="29" spans="1:6" x14ac:dyDescent="0.25">
      <c r="A29" s="276" t="s">
        <v>220</v>
      </c>
      <c r="B29" s="168">
        <v>381</v>
      </c>
      <c r="E29" s="48"/>
      <c r="F29" s="49"/>
    </row>
    <row r="30" spans="1:6" x14ac:dyDescent="0.25">
      <c r="A30" s="276" t="s">
        <v>219</v>
      </c>
      <c r="B30" s="168">
        <v>511</v>
      </c>
      <c r="E30" s="48"/>
      <c r="F30" s="49"/>
    </row>
    <row r="31" spans="1:6" x14ac:dyDescent="0.25">
      <c r="A31" s="276" t="s">
        <v>221</v>
      </c>
      <c r="B31" s="168">
        <v>761</v>
      </c>
      <c r="E31" s="48"/>
      <c r="F31" s="49"/>
    </row>
    <row r="32" spans="1:6" x14ac:dyDescent="0.25">
      <c r="A32" s="276" t="s">
        <v>222</v>
      </c>
      <c r="B32" s="168">
        <v>12018</v>
      </c>
      <c r="E32" s="48"/>
      <c r="F32" s="49"/>
    </row>
    <row r="33" spans="1:6" x14ac:dyDescent="0.25">
      <c r="A33" s="276" t="s">
        <v>814</v>
      </c>
      <c r="B33" s="168">
        <v>14705</v>
      </c>
      <c r="E33" s="48"/>
      <c r="F33" s="49"/>
    </row>
    <row r="34" spans="1:6" x14ac:dyDescent="0.25">
      <c r="A34" s="276" t="s">
        <v>224</v>
      </c>
      <c r="B34" s="168">
        <v>310</v>
      </c>
      <c r="E34" s="50"/>
      <c r="F34" s="51"/>
    </row>
    <row r="35" spans="1:6" x14ac:dyDescent="0.25">
      <c r="A35" s="276" t="s">
        <v>223</v>
      </c>
      <c r="B35" s="168">
        <v>311</v>
      </c>
      <c r="E35" s="48"/>
      <c r="F35" s="49"/>
    </row>
    <row r="36" spans="1:6" x14ac:dyDescent="0.25">
      <c r="A36" s="276" t="s">
        <v>225</v>
      </c>
      <c r="B36" s="168">
        <v>923</v>
      </c>
      <c r="E36" s="48"/>
      <c r="F36" s="49"/>
    </row>
    <row r="37" spans="1:6" x14ac:dyDescent="0.25">
      <c r="A37" s="276" t="s">
        <v>226</v>
      </c>
      <c r="B37" s="168">
        <v>1078</v>
      </c>
      <c r="E37" s="48"/>
      <c r="F37" s="49"/>
    </row>
    <row r="38" spans="1:6" x14ac:dyDescent="0.25">
      <c r="A38" s="276" t="s">
        <v>227</v>
      </c>
      <c r="B38" s="168">
        <v>1528</v>
      </c>
      <c r="E38" s="48"/>
      <c r="F38" s="49"/>
    </row>
    <row r="39" spans="1:6" x14ac:dyDescent="0.25">
      <c r="A39" s="276" t="s">
        <v>228</v>
      </c>
      <c r="B39" s="168">
        <v>2847</v>
      </c>
      <c r="E39" s="50"/>
      <c r="F39" s="51"/>
    </row>
    <row r="40" spans="1:6" x14ac:dyDescent="0.25">
      <c r="A40" s="276" t="s">
        <v>229</v>
      </c>
      <c r="B40" s="168">
        <v>13570</v>
      </c>
      <c r="E40" s="48"/>
      <c r="F40" s="49"/>
    </row>
    <row r="41" spans="1:6" x14ac:dyDescent="0.25">
      <c r="A41" s="276" t="s">
        <v>815</v>
      </c>
      <c r="B41" s="168">
        <v>20567</v>
      </c>
      <c r="E41" s="48"/>
      <c r="F41" s="49"/>
    </row>
    <row r="42" spans="1:6" x14ac:dyDescent="0.25">
      <c r="A42" s="275" t="s">
        <v>816</v>
      </c>
      <c r="B42" s="168">
        <v>49246</v>
      </c>
      <c r="E42" s="48"/>
      <c r="F42" s="49"/>
    </row>
    <row r="43" spans="1:6" x14ac:dyDescent="0.25">
      <c r="A43" s="274"/>
      <c r="B43" s="274"/>
      <c r="C43" s="274"/>
      <c r="E43" s="50"/>
      <c r="F43" s="51"/>
    </row>
    <row r="44" spans="1:6" x14ac:dyDescent="0.25">
      <c r="A44" s="274"/>
      <c r="B44" s="274"/>
      <c r="C44" s="274"/>
      <c r="E44" s="48"/>
      <c r="F44" s="49"/>
    </row>
    <row r="45" spans="1:6" x14ac:dyDescent="0.25">
      <c r="A45" s="274"/>
      <c r="B45" s="274"/>
      <c r="C45" s="274"/>
      <c r="E45" s="48"/>
      <c r="F45" s="49"/>
    </row>
    <row r="46" spans="1:6" x14ac:dyDescent="0.25">
      <c r="A46" s="274"/>
      <c r="B46" s="274"/>
      <c r="C46" s="274"/>
      <c r="E46" s="48"/>
      <c r="F46" s="49"/>
    </row>
    <row r="47" spans="1:6" x14ac:dyDescent="0.25">
      <c r="A47" s="274"/>
      <c r="B47" s="274"/>
      <c r="E47" s="50"/>
      <c r="F47" s="51"/>
    </row>
    <row r="48" spans="1:6" x14ac:dyDescent="0.25">
      <c r="E48" s="48"/>
      <c r="F48" s="49"/>
    </row>
    <row r="49" spans="5:6" x14ac:dyDescent="0.25">
      <c r="E49" s="48"/>
      <c r="F49" s="49"/>
    </row>
    <row r="50" spans="5:6" x14ac:dyDescent="0.25">
      <c r="E50" s="48"/>
      <c r="F50" s="49"/>
    </row>
    <row r="51" spans="5:6" x14ac:dyDescent="0.25">
      <c r="E51" s="50"/>
      <c r="F51" s="51"/>
    </row>
    <row r="52" spans="5:6" x14ac:dyDescent="0.25">
      <c r="E52" s="48"/>
      <c r="F52" s="49"/>
    </row>
    <row r="53" spans="5:6" x14ac:dyDescent="0.25">
      <c r="E53" s="50"/>
      <c r="F53" s="51"/>
    </row>
  </sheetData>
  <sortState xmlns:xlrd2="http://schemas.microsoft.com/office/spreadsheetml/2017/richdata2" ref="E48:F50">
    <sortCondition descending="1" ref="F48:F50"/>
  </sortState>
  <mergeCells count="2">
    <mergeCell ref="A3:B3"/>
    <mergeCell ref="A4:B4"/>
  </mergeCells>
  <conditionalFormatting sqref="A6:B42">
    <cfRule type="expression" dxfId="15" priority="1">
      <formula>LEFT($A6,5)="Total"</formula>
    </cfRule>
    <cfRule type="expression" dxfId="14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38"/>
  <dimension ref="A1:H20"/>
  <sheetViews>
    <sheetView showGridLines="0" workbookViewId="0"/>
  </sheetViews>
  <sheetFormatPr defaultRowHeight="15" x14ac:dyDescent="0.25"/>
  <cols>
    <col min="1" max="1" width="21" bestFit="1" customWidth="1"/>
    <col min="2" max="3" width="25.140625" bestFit="1" customWidth="1"/>
    <col min="4" max="4" width="8.28515625" customWidth="1"/>
    <col min="5" max="5" width="11.140625" customWidth="1"/>
  </cols>
  <sheetData>
    <row r="1" spans="1:8" x14ac:dyDescent="0.25">
      <c r="C1" s="78"/>
      <c r="D1" s="78"/>
      <c r="E1" s="78"/>
      <c r="F1" s="78"/>
      <c r="G1" s="78" t="s">
        <v>1175</v>
      </c>
      <c r="H1" s="78" t="s">
        <v>1176</v>
      </c>
    </row>
    <row r="3" spans="1:8" x14ac:dyDescent="0.25">
      <c r="A3" s="350" t="str">
        <f>"Tabela Referente à "&amp;G1</f>
        <v>Tabela Referente à Figura 2.27</v>
      </c>
      <c r="B3" s="350"/>
      <c r="C3" s="350"/>
    </row>
    <row r="4" spans="1:8" x14ac:dyDescent="0.25">
      <c r="A4" s="351" t="str">
        <f>H1</f>
        <v>Aeroportos utilizados por empresa – mercado doméstico, 2017 e 2018</v>
      </c>
      <c r="B4" s="351"/>
      <c r="C4" s="351"/>
    </row>
    <row r="5" spans="1:8" x14ac:dyDescent="0.25">
      <c r="A5" s="1" t="s">
        <v>7</v>
      </c>
      <c r="B5" s="21">
        <v>2017</v>
      </c>
      <c r="C5" s="21">
        <v>2018</v>
      </c>
      <c r="E5" s="48"/>
      <c r="F5" s="49"/>
    </row>
    <row r="6" spans="1:8" x14ac:dyDescent="0.25">
      <c r="A6" s="52" t="s">
        <v>60</v>
      </c>
      <c r="B6" s="40">
        <v>102</v>
      </c>
      <c r="C6" s="40">
        <v>105</v>
      </c>
      <c r="D6" s="11"/>
      <c r="E6" s="48"/>
      <c r="F6" s="49"/>
    </row>
    <row r="7" spans="1:8" x14ac:dyDescent="0.25">
      <c r="A7" s="53" t="s">
        <v>59</v>
      </c>
      <c r="B7" s="41">
        <v>57</v>
      </c>
      <c r="C7" s="41">
        <v>57</v>
      </c>
      <c r="D7" s="11"/>
      <c r="E7" s="48"/>
      <c r="F7" s="49"/>
    </row>
    <row r="8" spans="1:8" x14ac:dyDescent="0.25">
      <c r="A8" s="52" t="s">
        <v>526</v>
      </c>
      <c r="B8" s="40">
        <v>47</v>
      </c>
      <c r="C8" s="40">
        <v>48</v>
      </c>
      <c r="D8" s="11"/>
      <c r="E8" s="48"/>
      <c r="F8" s="49"/>
    </row>
    <row r="9" spans="1:8" x14ac:dyDescent="0.25">
      <c r="A9" s="53" t="s">
        <v>61</v>
      </c>
      <c r="B9" s="41">
        <v>28</v>
      </c>
      <c r="C9" s="41">
        <v>29</v>
      </c>
      <c r="D9" s="11"/>
      <c r="E9" s="48"/>
      <c r="F9" s="49"/>
    </row>
    <row r="10" spans="1:8" x14ac:dyDescent="0.25">
      <c r="A10" s="52" t="s">
        <v>62</v>
      </c>
      <c r="B10" s="40">
        <v>29</v>
      </c>
      <c r="C10" s="40">
        <v>18</v>
      </c>
      <c r="D10" s="11"/>
      <c r="E10" s="48"/>
      <c r="F10" s="49"/>
    </row>
    <row r="11" spans="1:8" x14ac:dyDescent="0.25">
      <c r="A11" s="53" t="s">
        <v>414</v>
      </c>
      <c r="B11" s="41">
        <v>17</v>
      </c>
      <c r="C11" s="41">
        <v>22</v>
      </c>
      <c r="D11" s="11"/>
      <c r="E11" s="48"/>
      <c r="F11" s="49"/>
    </row>
    <row r="12" spans="1:8" x14ac:dyDescent="0.25">
      <c r="A12" s="52" t="s">
        <v>394</v>
      </c>
      <c r="B12" s="40">
        <v>20</v>
      </c>
      <c r="C12" s="40">
        <v>18</v>
      </c>
      <c r="D12" s="11"/>
      <c r="E12" s="48"/>
      <c r="F12" s="49"/>
    </row>
    <row r="13" spans="1:8" x14ac:dyDescent="0.25">
      <c r="A13" s="53" t="s">
        <v>399</v>
      </c>
      <c r="B13" s="41">
        <v>17</v>
      </c>
      <c r="C13" s="41">
        <v>13</v>
      </c>
      <c r="D13" s="11"/>
      <c r="E13" s="48"/>
      <c r="F13" s="49"/>
    </row>
    <row r="14" spans="1:8" x14ac:dyDescent="0.25">
      <c r="A14" s="52" t="s">
        <v>818</v>
      </c>
      <c r="B14" s="40">
        <v>0</v>
      </c>
      <c r="C14" s="40">
        <v>26</v>
      </c>
      <c r="D14" s="11"/>
      <c r="E14" s="48"/>
      <c r="F14" s="49"/>
    </row>
    <row r="15" spans="1:8" x14ac:dyDescent="0.25">
      <c r="A15" s="53" t="s">
        <v>102</v>
      </c>
      <c r="B15" s="41">
        <v>15</v>
      </c>
      <c r="C15" s="41">
        <v>15</v>
      </c>
      <c r="D15" s="11"/>
      <c r="E15" s="48"/>
      <c r="F15" s="49"/>
    </row>
    <row r="16" spans="1:8" x14ac:dyDescent="0.25">
      <c r="A16" s="52" t="s">
        <v>721</v>
      </c>
      <c r="B16" s="40">
        <v>7</v>
      </c>
      <c r="C16" s="40">
        <v>11</v>
      </c>
      <c r="D16" s="11"/>
      <c r="E16" s="48"/>
      <c r="F16" s="49"/>
    </row>
    <row r="17" spans="1:6" x14ac:dyDescent="0.25">
      <c r="A17" s="53" t="s">
        <v>415</v>
      </c>
      <c r="B17" s="41">
        <v>17</v>
      </c>
      <c r="C17" s="41">
        <v>0</v>
      </c>
      <c r="D17" s="11"/>
      <c r="E17" s="50"/>
      <c r="F17" s="51"/>
    </row>
    <row r="18" spans="1:6" x14ac:dyDescent="0.25">
      <c r="A18" s="52" t="s">
        <v>447</v>
      </c>
      <c r="B18" s="40">
        <v>8</v>
      </c>
      <c r="C18" s="40">
        <v>0</v>
      </c>
      <c r="E18" s="48"/>
      <c r="F18" s="49"/>
    </row>
    <row r="19" spans="1:6" x14ac:dyDescent="0.25">
      <c r="A19" s="1"/>
      <c r="B19" s="60"/>
      <c r="C19" s="60"/>
      <c r="E19" s="48"/>
      <c r="F19" s="49"/>
    </row>
    <row r="20" spans="1:6" x14ac:dyDescent="0.25">
      <c r="B20" s="78">
        <f>B5</f>
        <v>2017</v>
      </c>
      <c r="C20" s="78">
        <f>C5</f>
        <v>2018</v>
      </c>
      <c r="E20" s="48"/>
      <c r="F20" s="49"/>
    </row>
  </sheetData>
  <sortState xmlns:xlrd2="http://schemas.microsoft.com/office/spreadsheetml/2017/richdata2" ref="A6:C18">
    <sortCondition descending="1" ref="C6:C18"/>
  </sortState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96"/>
  <dimension ref="A1:H22"/>
  <sheetViews>
    <sheetView showGridLines="0" workbookViewId="0">
      <selection activeCell="A5" sqref="A5:D22"/>
    </sheetView>
  </sheetViews>
  <sheetFormatPr defaultRowHeight="15" x14ac:dyDescent="0.25"/>
  <cols>
    <col min="1" max="1" width="14.42578125" customWidth="1"/>
    <col min="2" max="4" width="10.42578125" customWidth="1"/>
  </cols>
  <sheetData>
    <row r="1" spans="1:8" x14ac:dyDescent="0.25">
      <c r="C1" s="78"/>
      <c r="G1" s="78" t="s">
        <v>1123</v>
      </c>
      <c r="H1" s="78" t="s">
        <v>1124</v>
      </c>
    </row>
    <row r="3" spans="1:8" x14ac:dyDescent="0.25">
      <c r="A3" s="350" t="str">
        <f>"Tabela Referente à "&amp;G1</f>
        <v>Tabela Referente à Figura 1.3</v>
      </c>
      <c r="B3" s="350"/>
      <c r="C3" s="350"/>
    </row>
    <row r="4" spans="1:8" ht="30.75" customHeight="1" x14ac:dyDescent="0.25">
      <c r="A4" s="351" t="str">
        <f>H1</f>
        <v>Quantidade de empregados por aeronave – empresas aéreas brasileiras, 2016 a 2018</v>
      </c>
      <c r="B4" s="351"/>
      <c r="C4" s="351"/>
      <c r="D4" s="351"/>
    </row>
    <row r="5" spans="1:8" x14ac:dyDescent="0.25">
      <c r="A5" s="1" t="s">
        <v>7</v>
      </c>
      <c r="B5" s="1">
        <v>2016</v>
      </c>
      <c r="C5" s="121">
        <v>2017</v>
      </c>
      <c r="D5" s="121">
        <v>2018</v>
      </c>
    </row>
    <row r="6" spans="1:8" x14ac:dyDescent="0.25">
      <c r="A6" s="14" t="s">
        <v>415</v>
      </c>
      <c r="B6" s="308">
        <v>2</v>
      </c>
      <c r="C6" s="308" t="s">
        <v>868</v>
      </c>
      <c r="D6" s="308" t="s">
        <v>868</v>
      </c>
    </row>
    <row r="7" spans="1:8" x14ac:dyDescent="0.25">
      <c r="A7" s="15" t="s">
        <v>60</v>
      </c>
      <c r="B7" s="309">
        <v>82.427419354838705</v>
      </c>
      <c r="C7" s="309">
        <v>85.374045801526719</v>
      </c>
      <c r="D7" s="309">
        <v>94.28125</v>
      </c>
    </row>
    <row r="8" spans="1:8" x14ac:dyDescent="0.25">
      <c r="A8" s="14" t="s">
        <v>453</v>
      </c>
      <c r="B8" s="308">
        <v>110</v>
      </c>
      <c r="C8" s="308" t="s">
        <v>868</v>
      </c>
      <c r="D8" s="308" t="s">
        <v>868</v>
      </c>
    </row>
    <row r="9" spans="1:8" x14ac:dyDescent="0.25">
      <c r="A9" s="15" t="s">
        <v>59</v>
      </c>
      <c r="B9" s="309">
        <v>118.1953125</v>
      </c>
      <c r="C9" s="309">
        <v>102.36134453781513</v>
      </c>
      <c r="D9" s="309">
        <v>101.23140495867769</v>
      </c>
    </row>
    <row r="10" spans="1:8" x14ac:dyDescent="0.25">
      <c r="A10" s="14" t="s">
        <v>102</v>
      </c>
      <c r="B10" s="308">
        <v>66.75</v>
      </c>
      <c r="C10" s="308">
        <v>54.25</v>
      </c>
      <c r="D10" s="308">
        <v>51.5</v>
      </c>
    </row>
    <row r="11" spans="1:8" x14ac:dyDescent="0.25">
      <c r="A11" s="310" t="s">
        <v>61</v>
      </c>
      <c r="B11" s="311" t="s">
        <v>868</v>
      </c>
      <c r="C11" s="311" t="s">
        <v>868</v>
      </c>
      <c r="D11" s="311" t="s">
        <v>868</v>
      </c>
    </row>
    <row r="12" spans="1:8" x14ac:dyDescent="0.25">
      <c r="A12" s="14" t="s">
        <v>394</v>
      </c>
      <c r="B12" s="308">
        <v>38.75</v>
      </c>
      <c r="C12" s="308">
        <v>43.5</v>
      </c>
      <c r="D12" s="308">
        <v>40.4</v>
      </c>
    </row>
    <row r="13" spans="1:8" x14ac:dyDescent="0.25">
      <c r="A13" s="15" t="s">
        <v>62</v>
      </c>
      <c r="B13" s="309">
        <v>83.111111111111114</v>
      </c>
      <c r="C13" s="309">
        <v>105.75</v>
      </c>
      <c r="D13" s="309">
        <v>119.8</v>
      </c>
    </row>
    <row r="14" spans="1:8" x14ac:dyDescent="0.25">
      <c r="A14" s="14" t="s">
        <v>447</v>
      </c>
      <c r="B14" s="308">
        <v>22</v>
      </c>
      <c r="C14" s="308">
        <v>47</v>
      </c>
      <c r="D14" s="308" t="s">
        <v>868</v>
      </c>
    </row>
    <row r="15" spans="1:8" x14ac:dyDescent="0.25">
      <c r="A15" s="15" t="s">
        <v>414</v>
      </c>
      <c r="B15" s="309">
        <v>31.714285714285715</v>
      </c>
      <c r="C15" s="309">
        <v>20</v>
      </c>
      <c r="D15" s="309">
        <v>19.866666666666667</v>
      </c>
    </row>
    <row r="16" spans="1:8" x14ac:dyDescent="0.25">
      <c r="A16" s="14" t="s">
        <v>103</v>
      </c>
      <c r="B16" s="308">
        <v>19</v>
      </c>
      <c r="C16" s="308" t="s">
        <v>868</v>
      </c>
      <c r="D16" s="308" t="s">
        <v>868</v>
      </c>
    </row>
    <row r="17" spans="1:5" x14ac:dyDescent="0.25">
      <c r="A17" s="15" t="s">
        <v>523</v>
      </c>
      <c r="B17" s="309">
        <v>21</v>
      </c>
      <c r="C17" s="309" t="s">
        <v>868</v>
      </c>
      <c r="D17" s="309" t="s">
        <v>868</v>
      </c>
    </row>
    <row r="18" spans="1:5" x14ac:dyDescent="0.25">
      <c r="A18" s="14" t="s">
        <v>526</v>
      </c>
      <c r="B18" s="308">
        <v>138.96363636363637</v>
      </c>
      <c r="C18" s="308">
        <v>151.75694444444446</v>
      </c>
      <c r="D18" s="308">
        <v>120.67948717948718</v>
      </c>
    </row>
    <row r="19" spans="1:5" x14ac:dyDescent="0.25">
      <c r="A19" s="15" t="s">
        <v>399</v>
      </c>
      <c r="B19" s="309">
        <v>40.799999999999997</v>
      </c>
      <c r="C19" s="309">
        <v>37.4</v>
      </c>
      <c r="D19" s="309">
        <v>46</v>
      </c>
    </row>
    <row r="20" spans="1:5" x14ac:dyDescent="0.25">
      <c r="A20" s="14" t="s">
        <v>721</v>
      </c>
      <c r="B20" s="308" t="s">
        <v>868</v>
      </c>
      <c r="C20" s="308">
        <v>122</v>
      </c>
      <c r="D20" s="308">
        <v>50</v>
      </c>
    </row>
    <row r="21" spans="1:5" x14ac:dyDescent="0.25">
      <c r="A21" s="15" t="s">
        <v>818</v>
      </c>
      <c r="B21" s="309" t="s">
        <v>868</v>
      </c>
      <c r="C21" s="309" t="s">
        <v>868</v>
      </c>
      <c r="D21" s="309">
        <v>13.8</v>
      </c>
    </row>
    <row r="22" spans="1:5" x14ac:dyDescent="0.25">
      <c r="A22" s="16" t="s">
        <v>10</v>
      </c>
      <c r="B22" s="6">
        <v>110.19120879120879</v>
      </c>
      <c r="C22" s="6">
        <v>109.26450116009281</v>
      </c>
      <c r="D22" s="6">
        <v>99.491150442477874</v>
      </c>
      <c r="E22" s="114" t="e">
        <f>D21/C21-1</f>
        <v>#VALUE!</v>
      </c>
    </row>
  </sheetData>
  <sortState xmlns:xlrd2="http://schemas.microsoft.com/office/spreadsheetml/2017/richdata2" ref="A6:D18">
    <sortCondition descending="1" ref="D6:D18"/>
  </sortState>
  <mergeCells count="2">
    <mergeCell ref="A3:C3"/>
    <mergeCell ref="A4:D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39"/>
  <dimension ref="A1:H19"/>
  <sheetViews>
    <sheetView showGridLines="0" workbookViewId="0"/>
  </sheetViews>
  <sheetFormatPr defaultColWidth="18.5703125" defaultRowHeight="15" x14ac:dyDescent="0.25"/>
  <cols>
    <col min="2" max="2" width="20.85546875" customWidth="1"/>
  </cols>
  <sheetData>
    <row r="1" spans="1:8" x14ac:dyDescent="0.25">
      <c r="C1" s="78"/>
      <c r="D1" s="78"/>
      <c r="E1" s="78"/>
      <c r="F1" s="78"/>
      <c r="G1" s="78" t="s">
        <v>1177</v>
      </c>
      <c r="H1" s="78" t="s">
        <v>1178</v>
      </c>
    </row>
    <row r="3" spans="1:8" x14ac:dyDescent="0.25">
      <c r="A3" s="350" t="str">
        <f>"Tabela Referente à "&amp;G1</f>
        <v>Tabela Referente à Figura 2.28</v>
      </c>
      <c r="B3" s="350"/>
    </row>
    <row r="4" spans="1:8" ht="33.75" customHeight="1" x14ac:dyDescent="0.25">
      <c r="A4" s="351" t="str">
        <f>H1</f>
        <v>Evolução do número de voos realizados – mercado internacional, 2009 a 2018</v>
      </c>
      <c r="B4" s="351"/>
      <c r="C4" s="78"/>
    </row>
    <row r="5" spans="1:8" x14ac:dyDescent="0.25">
      <c r="A5" s="1" t="s">
        <v>20</v>
      </c>
      <c r="B5" s="21" t="s">
        <v>568</v>
      </c>
      <c r="C5" s="78"/>
    </row>
    <row r="6" spans="1:8" x14ac:dyDescent="0.25">
      <c r="A6" s="17">
        <v>2009</v>
      </c>
      <c r="B6" s="23">
        <v>101124</v>
      </c>
      <c r="C6" s="140"/>
    </row>
    <row r="7" spans="1:8" x14ac:dyDescent="0.25">
      <c r="A7" s="18">
        <v>2010</v>
      </c>
      <c r="B7" s="24">
        <v>117472</v>
      </c>
      <c r="C7" s="114">
        <f t="shared" ref="C7:C12" si="0">B7/B6-1</f>
        <v>0.16166290890391988</v>
      </c>
    </row>
    <row r="8" spans="1:8" x14ac:dyDescent="0.25">
      <c r="A8" s="17">
        <v>2011</v>
      </c>
      <c r="B8" s="23">
        <v>135426</v>
      </c>
      <c r="C8" s="114">
        <f t="shared" si="0"/>
        <v>0.15283642059384372</v>
      </c>
    </row>
    <row r="9" spans="1:8" x14ac:dyDescent="0.25">
      <c r="A9" s="18">
        <v>2012</v>
      </c>
      <c r="B9" s="24">
        <v>142514</v>
      </c>
      <c r="C9" s="114">
        <f t="shared" si="0"/>
        <v>5.2338546512486595E-2</v>
      </c>
    </row>
    <row r="10" spans="1:8" x14ac:dyDescent="0.25">
      <c r="A10" s="17">
        <v>2013</v>
      </c>
      <c r="B10" s="23">
        <v>144845</v>
      </c>
      <c r="C10" s="114">
        <f t="shared" si="0"/>
        <v>1.6356287803303449E-2</v>
      </c>
    </row>
    <row r="11" spans="1:8" x14ac:dyDescent="0.25">
      <c r="A11" s="18">
        <v>2014</v>
      </c>
      <c r="B11" s="24">
        <v>149318</v>
      </c>
      <c r="C11" s="114">
        <f t="shared" si="0"/>
        <v>3.0881286892885607E-2</v>
      </c>
    </row>
    <row r="12" spans="1:8" x14ac:dyDescent="0.25">
      <c r="A12" s="17">
        <v>2015</v>
      </c>
      <c r="B12" s="23">
        <v>147203</v>
      </c>
      <c r="C12" s="114">
        <f t="shared" si="0"/>
        <v>-1.4164400809011601E-2</v>
      </c>
    </row>
    <row r="13" spans="1:8" x14ac:dyDescent="0.25">
      <c r="A13" s="18">
        <v>2016</v>
      </c>
      <c r="B13" s="24">
        <v>135863</v>
      </c>
      <c r="C13" s="114">
        <f>B13/B12-1</f>
        <v>-7.7036473441438047E-2</v>
      </c>
    </row>
    <row r="14" spans="1:8" x14ac:dyDescent="0.25">
      <c r="A14" s="17">
        <v>2017</v>
      </c>
      <c r="B14" s="23">
        <v>135416</v>
      </c>
      <c r="C14" s="114">
        <f>B14/B13-1</f>
        <v>-3.2900789766161509E-3</v>
      </c>
    </row>
    <row r="15" spans="1:8" x14ac:dyDescent="0.25">
      <c r="A15" s="18">
        <v>2018</v>
      </c>
      <c r="B15" s="24">
        <v>151197</v>
      </c>
      <c r="C15" s="114">
        <f>B15/B14-1</f>
        <v>0.11653718910616173</v>
      </c>
    </row>
    <row r="16" spans="1:8" x14ac:dyDescent="0.25">
      <c r="A16" s="16"/>
      <c r="B16" s="9"/>
      <c r="C16" s="78"/>
    </row>
    <row r="17" spans="1:3" x14ac:dyDescent="0.25">
      <c r="A17" s="78" t="str">
        <f>IF(B17&gt;0,"+","")&amp;ROUND(B17*100,1)&amp;"%"</f>
        <v>+50%</v>
      </c>
      <c r="B17" s="147" t="str">
        <f>IF((B15/B6-1)&gt;0,"+","")&amp;(ROUND(B15/B6-1,2)*100)&amp;"%"</f>
        <v>+50%</v>
      </c>
      <c r="C17" s="114">
        <f>B15/B6-1</f>
        <v>0.49516435267592263</v>
      </c>
    </row>
    <row r="18" spans="1:3" x14ac:dyDescent="0.25">
      <c r="C18" s="78"/>
    </row>
    <row r="19" spans="1:3" x14ac:dyDescent="0.25">
      <c r="C19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40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1179</v>
      </c>
      <c r="H1" s="78" t="s">
        <v>1180</v>
      </c>
    </row>
    <row r="3" spans="1:8" x14ac:dyDescent="0.25">
      <c r="A3" s="350" t="str">
        <f>"Tabela Referente à "&amp;G1</f>
        <v>Tabela Referente à Figura 2.29</v>
      </c>
      <c r="B3" s="350"/>
    </row>
    <row r="4" spans="1:8" ht="33" customHeight="1" x14ac:dyDescent="0.25">
      <c r="A4" s="351" t="str">
        <f>H1</f>
        <v>Variação no número de voos realizados em relação ao ano anterior – mercado internacional, 2009 a 2018</v>
      </c>
      <c r="B4" s="351"/>
    </row>
    <row r="5" spans="1:8" x14ac:dyDescent="0.25">
      <c r="A5" s="1" t="s">
        <v>20</v>
      </c>
      <c r="B5" s="21" t="s">
        <v>568</v>
      </c>
    </row>
    <row r="6" spans="1:8" x14ac:dyDescent="0.25">
      <c r="A6" s="17">
        <v>2009</v>
      </c>
      <c r="B6" s="10">
        <v>-5.2089875422990033E-2</v>
      </c>
    </row>
    <row r="7" spans="1:8" x14ac:dyDescent="0.25">
      <c r="A7" s="18">
        <v>2010</v>
      </c>
      <c r="B7" s="11">
        <v>0.16166290890391993</v>
      </c>
    </row>
    <row r="8" spans="1:8" x14ac:dyDescent="0.25">
      <c r="A8" s="17">
        <v>2011</v>
      </c>
      <c r="B8" s="10">
        <v>0.15283642059384364</v>
      </c>
    </row>
    <row r="9" spans="1:8" x14ac:dyDescent="0.25">
      <c r="A9" s="18">
        <v>2012</v>
      </c>
      <c r="B9" s="11">
        <v>5.2338546512486525E-2</v>
      </c>
    </row>
    <row r="10" spans="1:8" x14ac:dyDescent="0.25">
      <c r="A10" s="17">
        <v>2013</v>
      </c>
      <c r="B10" s="10">
        <v>1.6356287803303535E-2</v>
      </c>
    </row>
    <row r="11" spans="1:8" x14ac:dyDescent="0.25">
      <c r="A11" s="18">
        <v>2014</v>
      </c>
      <c r="B11" s="11">
        <v>3.0881286892885499E-2</v>
      </c>
    </row>
    <row r="12" spans="1:8" x14ac:dyDescent="0.25">
      <c r="A12" s="17">
        <v>2015</v>
      </c>
      <c r="B12" s="10">
        <v>-1.416440080901164E-2</v>
      </c>
    </row>
    <row r="13" spans="1:8" x14ac:dyDescent="0.25">
      <c r="A13" s="18">
        <v>2016</v>
      </c>
      <c r="B13" s="11">
        <v>-7.7036473441438019E-2</v>
      </c>
    </row>
    <row r="14" spans="1:8" x14ac:dyDescent="0.25">
      <c r="A14" s="17">
        <v>2017</v>
      </c>
      <c r="B14" s="10">
        <v>-3.29007897661615E-3</v>
      </c>
    </row>
    <row r="15" spans="1:8" x14ac:dyDescent="0.25">
      <c r="A15" s="18">
        <v>2018</v>
      </c>
      <c r="B15" s="11">
        <v>0.11653718910616176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41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9.28515625" customWidth="1"/>
    <col min="2" max="2" width="48.5703125" customWidth="1"/>
  </cols>
  <sheetData>
    <row r="1" spans="1:8" x14ac:dyDescent="0.25">
      <c r="C1" s="78"/>
      <c r="D1" s="78"/>
      <c r="E1" s="78"/>
      <c r="F1" s="78"/>
      <c r="G1" s="78" t="s">
        <v>1181</v>
      </c>
      <c r="H1" s="78" t="s">
        <v>1182</v>
      </c>
    </row>
    <row r="3" spans="1:8" x14ac:dyDescent="0.25">
      <c r="A3" s="350" t="str">
        <f>"Tabela Referente à "&amp;G1</f>
        <v>Tabela Referente à Figura 2.30</v>
      </c>
      <c r="B3" s="350"/>
    </row>
    <row r="4" spans="1:8" ht="30" customHeight="1" x14ac:dyDescent="0.25">
      <c r="A4" s="351" t="str">
        <f>H1</f>
        <v>Variação no número de voos realizados em relação ao mesmo mês do ano anterior – mercado internacional, 2018</v>
      </c>
      <c r="B4" s="351"/>
    </row>
    <row r="5" spans="1:8" x14ac:dyDescent="0.25">
      <c r="A5" s="1" t="s">
        <v>20</v>
      </c>
      <c r="B5" s="21" t="s">
        <v>46</v>
      </c>
    </row>
    <row r="6" spans="1:8" x14ac:dyDescent="0.25">
      <c r="A6" s="17" t="s">
        <v>47</v>
      </c>
      <c r="B6" s="10">
        <v>0.16624663978494625</v>
      </c>
      <c r="C6" s="78">
        <v>1</v>
      </c>
    </row>
    <row r="7" spans="1:8" x14ac:dyDescent="0.25">
      <c r="A7" s="18" t="s">
        <v>48</v>
      </c>
      <c r="B7" s="11">
        <v>0.15907386576677915</v>
      </c>
      <c r="C7" s="78">
        <v>2</v>
      </c>
    </row>
    <row r="8" spans="1:8" x14ac:dyDescent="0.25">
      <c r="A8" s="17" t="s">
        <v>49</v>
      </c>
      <c r="B8" s="10">
        <v>0.12931112111661414</v>
      </c>
      <c r="C8" s="78">
        <v>3</v>
      </c>
    </row>
    <row r="9" spans="1:8" x14ac:dyDescent="0.25">
      <c r="A9" s="18" t="s">
        <v>50</v>
      </c>
      <c r="B9" s="11">
        <v>0.15744640122511486</v>
      </c>
      <c r="C9" s="78">
        <v>4</v>
      </c>
    </row>
    <row r="10" spans="1:8" x14ac:dyDescent="0.25">
      <c r="A10" s="17" t="s">
        <v>51</v>
      </c>
      <c r="B10" s="10">
        <v>0.1541438550122711</v>
      </c>
      <c r="C10" s="78">
        <v>5</v>
      </c>
    </row>
    <row r="11" spans="1:8" x14ac:dyDescent="0.25">
      <c r="A11" s="18" t="s">
        <v>52</v>
      </c>
      <c r="B11" s="11">
        <v>0.12631881833876846</v>
      </c>
      <c r="C11" s="78">
        <v>6</v>
      </c>
    </row>
    <row r="12" spans="1:8" x14ac:dyDescent="0.25">
      <c r="A12" s="17" t="s">
        <v>53</v>
      </c>
      <c r="B12" s="10">
        <v>9.6435886931585418E-2</v>
      </c>
      <c r="C12" s="78">
        <v>7</v>
      </c>
    </row>
    <row r="13" spans="1:8" x14ac:dyDescent="0.25">
      <c r="A13" s="18" t="s">
        <v>54</v>
      </c>
      <c r="B13" s="11">
        <v>0.10817599168543218</v>
      </c>
      <c r="C13" s="78">
        <v>8</v>
      </c>
    </row>
    <row r="14" spans="1:8" x14ac:dyDescent="0.25">
      <c r="A14" s="17" t="s">
        <v>55</v>
      </c>
      <c r="B14" s="10">
        <v>0.10684186678749434</v>
      </c>
      <c r="C14" s="78">
        <v>9</v>
      </c>
    </row>
    <row r="15" spans="1:8" x14ac:dyDescent="0.25">
      <c r="A15" s="18" t="s">
        <v>56</v>
      </c>
      <c r="B15" s="11">
        <v>6.0233665080051922E-2</v>
      </c>
      <c r="C15" s="78">
        <v>10</v>
      </c>
    </row>
    <row r="16" spans="1:8" x14ac:dyDescent="0.25">
      <c r="A16" s="17" t="s">
        <v>57</v>
      </c>
      <c r="B16" s="10">
        <v>5.6446664913664651E-2</v>
      </c>
      <c r="C16" s="78">
        <v>11</v>
      </c>
    </row>
    <row r="17" spans="1:3" x14ac:dyDescent="0.25">
      <c r="A17" s="18" t="s">
        <v>58</v>
      </c>
      <c r="B17" s="11">
        <v>9.0168516891622072E-2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42"/>
  <dimension ref="A1:H17"/>
  <sheetViews>
    <sheetView showGridLines="0" workbookViewId="0">
      <selection activeCell="A5" sqref="A5:C15"/>
    </sheetView>
  </sheetViews>
  <sheetFormatPr defaultColWidth="18.5703125" defaultRowHeight="15" x14ac:dyDescent="0.25"/>
  <cols>
    <col min="2" max="2" width="19.28515625" bestFit="1" customWidth="1"/>
    <col min="3" max="3" width="20.85546875" bestFit="1" customWidth="1"/>
    <col min="4" max="4" width="4.140625" customWidth="1"/>
  </cols>
  <sheetData>
    <row r="1" spans="1:8" x14ac:dyDescent="0.25">
      <c r="C1" s="78"/>
      <c r="D1" s="78"/>
      <c r="E1" s="78"/>
      <c r="F1" s="78"/>
      <c r="G1" s="78" t="s">
        <v>1183</v>
      </c>
      <c r="H1" s="78" t="s">
        <v>1184</v>
      </c>
    </row>
    <row r="3" spans="1:8" x14ac:dyDescent="0.25">
      <c r="A3" s="350" t="str">
        <f>"Tabela Referente à "&amp;G1</f>
        <v>Tabela Referente à Figura 2.31</v>
      </c>
      <c r="B3" s="350"/>
      <c r="C3" s="350"/>
    </row>
    <row r="4" spans="1:8" ht="33.75" customHeight="1" x14ac:dyDescent="0.25">
      <c r="A4" s="351" t="str">
        <f>H1</f>
        <v>Evolução do número de voos realizados por nacionalidade da empresa – mercado internacional, 2009 a 2018</v>
      </c>
      <c r="B4" s="351"/>
      <c r="C4" s="351"/>
    </row>
    <row r="5" spans="1:8" x14ac:dyDescent="0.25">
      <c r="A5" s="1" t="s">
        <v>20</v>
      </c>
      <c r="B5" s="21" t="s">
        <v>105</v>
      </c>
      <c r="C5" s="21" t="s">
        <v>106</v>
      </c>
    </row>
    <row r="6" spans="1:8" x14ac:dyDescent="0.25">
      <c r="A6" s="17">
        <v>2009</v>
      </c>
      <c r="B6" s="23">
        <v>37861</v>
      </c>
      <c r="C6" s="23">
        <v>63263</v>
      </c>
    </row>
    <row r="7" spans="1:8" x14ac:dyDescent="0.25">
      <c r="A7" s="18">
        <v>2010</v>
      </c>
      <c r="B7" s="24">
        <v>39398</v>
      </c>
      <c r="C7" s="24">
        <v>78074</v>
      </c>
    </row>
    <row r="8" spans="1:8" x14ac:dyDescent="0.25">
      <c r="A8" s="17">
        <v>2011</v>
      </c>
      <c r="B8" s="23">
        <v>41749</v>
      </c>
      <c r="C8" s="23">
        <v>93677</v>
      </c>
    </row>
    <row r="9" spans="1:8" x14ac:dyDescent="0.25">
      <c r="A9" s="18">
        <v>2012</v>
      </c>
      <c r="B9" s="24">
        <v>40971</v>
      </c>
      <c r="C9" s="24">
        <v>101543</v>
      </c>
    </row>
    <row r="10" spans="1:8" x14ac:dyDescent="0.25">
      <c r="A10" s="17">
        <v>2013</v>
      </c>
      <c r="B10" s="23">
        <v>42045</v>
      </c>
      <c r="C10" s="23">
        <v>102800</v>
      </c>
    </row>
    <row r="11" spans="1:8" x14ac:dyDescent="0.25">
      <c r="A11" s="18">
        <v>2014</v>
      </c>
      <c r="B11" s="24">
        <v>42347</v>
      </c>
      <c r="C11" s="24">
        <v>106971</v>
      </c>
    </row>
    <row r="12" spans="1:8" x14ac:dyDescent="0.25">
      <c r="A12" s="17">
        <v>2015</v>
      </c>
      <c r="B12" s="23">
        <v>48241</v>
      </c>
      <c r="C12" s="23">
        <v>98962</v>
      </c>
    </row>
    <row r="13" spans="1:8" x14ac:dyDescent="0.25">
      <c r="A13" s="18">
        <v>2016</v>
      </c>
      <c r="B13" s="24">
        <v>48066</v>
      </c>
      <c r="C13" s="24">
        <v>87797</v>
      </c>
    </row>
    <row r="14" spans="1:8" x14ac:dyDescent="0.25">
      <c r="A14" s="17">
        <v>2017</v>
      </c>
      <c r="B14" s="23">
        <v>51110</v>
      </c>
      <c r="C14" s="23">
        <v>84306</v>
      </c>
    </row>
    <row r="15" spans="1:8" x14ac:dyDescent="0.25">
      <c r="A15" s="18">
        <v>2018</v>
      </c>
      <c r="B15" s="24">
        <v>57508</v>
      </c>
      <c r="C15" s="24">
        <v>93689</v>
      </c>
    </row>
    <row r="16" spans="1:8" x14ac:dyDescent="0.25">
      <c r="A16" s="16"/>
      <c r="B16" s="9"/>
      <c r="C16" s="9"/>
    </row>
    <row r="17" spans="2:3" x14ac:dyDescent="0.25">
      <c r="B17" s="78" t="s">
        <v>381</v>
      </c>
      <c r="C17" s="78" t="s">
        <v>382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43"/>
  <dimension ref="A1:H17"/>
  <sheetViews>
    <sheetView showGridLines="0" workbookViewId="0">
      <selection activeCell="A5" sqref="A5:C15"/>
    </sheetView>
  </sheetViews>
  <sheetFormatPr defaultColWidth="18.5703125" defaultRowHeight="15" x14ac:dyDescent="0.25"/>
  <cols>
    <col min="2" max="2" width="19.28515625" bestFit="1" customWidth="1"/>
    <col min="3" max="3" width="20.85546875" bestFit="1" customWidth="1"/>
    <col min="4" max="4" width="3.85546875" customWidth="1"/>
  </cols>
  <sheetData>
    <row r="1" spans="1:8" x14ac:dyDescent="0.25">
      <c r="C1" s="78"/>
      <c r="D1" s="78"/>
      <c r="E1" s="78"/>
      <c r="F1" s="78"/>
      <c r="G1" s="78" t="s">
        <v>1185</v>
      </c>
      <c r="H1" s="78" t="s">
        <v>1186</v>
      </c>
    </row>
    <row r="3" spans="1:8" x14ac:dyDescent="0.25">
      <c r="A3" s="350" t="str">
        <f>"Tabela Referente à "&amp;G1</f>
        <v>Tabela Referente à Figura 2.32</v>
      </c>
      <c r="B3" s="350"/>
      <c r="C3" s="350"/>
    </row>
    <row r="4" spans="1:8" ht="30" customHeight="1" x14ac:dyDescent="0.25">
      <c r="A4" s="351" t="str">
        <f>H1</f>
        <v>Proporção de voos realizados por nacionalidade da empresa – mercado internacional, 2009 a 2018</v>
      </c>
      <c r="B4" s="351"/>
      <c r="C4" s="351"/>
    </row>
    <row r="5" spans="1:8" x14ac:dyDescent="0.25">
      <c r="A5" s="1" t="s">
        <v>20</v>
      </c>
      <c r="B5" s="21" t="s">
        <v>105</v>
      </c>
      <c r="C5" s="21" t="s">
        <v>106</v>
      </c>
    </row>
    <row r="6" spans="1:8" x14ac:dyDescent="0.25">
      <c r="A6" s="17">
        <v>2009</v>
      </c>
      <c r="B6" s="76">
        <v>0.37440172461532378</v>
      </c>
      <c r="C6" s="76">
        <v>0.62559827538467627</v>
      </c>
    </row>
    <row r="7" spans="1:8" x14ac:dyDescent="0.25">
      <c r="A7" s="18">
        <v>2010</v>
      </c>
      <c r="B7" s="77">
        <v>0.33538204848815034</v>
      </c>
      <c r="C7" s="77">
        <v>0.66461795151184966</v>
      </c>
    </row>
    <row r="8" spans="1:8" x14ac:dyDescent="0.25">
      <c r="A8" s="17">
        <v>2011</v>
      </c>
      <c r="B8" s="76">
        <v>0.30827906015093115</v>
      </c>
      <c r="C8" s="76">
        <v>0.69172093984906891</v>
      </c>
    </row>
    <row r="9" spans="1:8" x14ac:dyDescent="0.25">
      <c r="A9" s="18">
        <v>2012</v>
      </c>
      <c r="B9" s="77">
        <v>0.28748754508329005</v>
      </c>
      <c r="C9" s="77">
        <v>0.71251245491670989</v>
      </c>
    </row>
    <row r="10" spans="1:8" x14ac:dyDescent="0.25">
      <c r="A10" s="17">
        <v>2013</v>
      </c>
      <c r="B10" s="76">
        <v>0.29027581207497671</v>
      </c>
      <c r="C10" s="76">
        <v>0.70972418792502334</v>
      </c>
    </row>
    <row r="11" spans="1:8" x14ac:dyDescent="0.25">
      <c r="A11" s="18">
        <v>2014</v>
      </c>
      <c r="B11" s="77">
        <v>0.28360278064265526</v>
      </c>
      <c r="C11" s="77">
        <v>0.71639721935734468</v>
      </c>
    </row>
    <row r="12" spans="1:8" x14ac:dyDescent="0.25">
      <c r="A12" s="17">
        <v>2015</v>
      </c>
      <c r="B12" s="76">
        <v>0.32771750575735548</v>
      </c>
      <c r="C12" s="76">
        <v>0.67228249424264452</v>
      </c>
    </row>
    <row r="13" spans="1:8" x14ac:dyDescent="0.25">
      <c r="A13" s="18">
        <v>2016</v>
      </c>
      <c r="B13" s="77">
        <v>0.35378285478754334</v>
      </c>
      <c r="C13" s="77">
        <v>0.64621714521245666</v>
      </c>
    </row>
    <row r="14" spans="1:8" x14ac:dyDescent="0.25">
      <c r="A14" s="17">
        <v>2017</v>
      </c>
      <c r="B14" s="76">
        <v>0.37742955042240206</v>
      </c>
      <c r="C14" s="76">
        <v>0.62257044957759788</v>
      </c>
    </row>
    <row r="15" spans="1:8" x14ac:dyDescent="0.25">
      <c r="A15" s="18">
        <v>2018</v>
      </c>
      <c r="B15" s="77">
        <v>0.38035146199990738</v>
      </c>
      <c r="C15" s="77">
        <v>0.61964853800009256</v>
      </c>
    </row>
    <row r="16" spans="1:8" x14ac:dyDescent="0.25">
      <c r="A16" s="16"/>
      <c r="B16" s="9"/>
      <c r="C16" s="9"/>
    </row>
    <row r="17" spans="2:3" x14ac:dyDescent="0.25">
      <c r="B17" s="78" t="s">
        <v>381</v>
      </c>
      <c r="C17" s="78" t="s">
        <v>382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Plan44"/>
  <dimension ref="A1:H8"/>
  <sheetViews>
    <sheetView showGridLines="0" workbookViewId="0">
      <selection activeCell="A5" sqref="A5:B7"/>
    </sheetView>
  </sheetViews>
  <sheetFormatPr defaultColWidth="18.5703125" defaultRowHeight="15" x14ac:dyDescent="0.25"/>
  <cols>
    <col min="1" max="1" width="20.85546875" bestFit="1" customWidth="1"/>
    <col min="2" max="2" width="42.7109375" customWidth="1"/>
    <col min="3" max="3" width="5.5703125" customWidth="1"/>
  </cols>
  <sheetData>
    <row r="1" spans="1:8" x14ac:dyDescent="0.25">
      <c r="C1" s="78"/>
      <c r="D1" s="78"/>
      <c r="E1" s="78"/>
      <c r="F1" s="78"/>
      <c r="G1" s="78" t="s">
        <v>1187</v>
      </c>
      <c r="H1" s="78" t="s">
        <v>1188</v>
      </c>
    </row>
    <row r="3" spans="1:8" x14ac:dyDescent="0.25">
      <c r="A3" s="350" t="str">
        <f>"Tabela Referente à "&amp;G1</f>
        <v>Tabela Referente à Figura 2.33</v>
      </c>
      <c r="B3" s="350"/>
    </row>
    <row r="4" spans="1:8" ht="36.75" customHeight="1" x14ac:dyDescent="0.25">
      <c r="A4" s="351" t="str">
        <f>H1</f>
        <v>Variação do número de voos realizados por nacionalidade da empresa – mercado internacional, 2018/2009</v>
      </c>
      <c r="B4" s="351"/>
    </row>
    <row r="5" spans="1:8" x14ac:dyDescent="0.25">
      <c r="A5" s="1" t="s">
        <v>20</v>
      </c>
      <c r="B5" s="21" t="s">
        <v>107</v>
      </c>
    </row>
    <row r="6" spans="1:8" x14ac:dyDescent="0.25">
      <c r="A6" s="17" t="s">
        <v>105</v>
      </c>
      <c r="B6" s="76">
        <v>0.51892448693906656</v>
      </c>
      <c r="C6" s="78" t="s">
        <v>383</v>
      </c>
    </row>
    <row r="7" spans="1:8" x14ac:dyDescent="0.25">
      <c r="A7" s="18" t="s">
        <v>106</v>
      </c>
      <c r="B7" s="77">
        <v>0.48094462798160059</v>
      </c>
      <c r="C7" s="78" t="s">
        <v>384</v>
      </c>
    </row>
    <row r="8" spans="1:8" x14ac:dyDescent="0.25">
      <c r="A8" s="16"/>
      <c r="B8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45"/>
  <dimension ref="A1:H8"/>
  <sheetViews>
    <sheetView showGridLines="0" workbookViewId="0">
      <selection activeCell="A5" sqref="A5:B7"/>
    </sheetView>
  </sheetViews>
  <sheetFormatPr defaultColWidth="18.5703125" defaultRowHeight="15" x14ac:dyDescent="0.25"/>
  <cols>
    <col min="1" max="1" width="20.85546875" bestFit="1" customWidth="1"/>
    <col min="2" max="2" width="42.7109375" customWidth="1"/>
    <col min="3" max="3" width="5.140625" customWidth="1"/>
  </cols>
  <sheetData>
    <row r="1" spans="1:8" x14ac:dyDescent="0.25">
      <c r="C1" s="78"/>
      <c r="D1" s="78"/>
      <c r="E1" s="78"/>
      <c r="F1" s="78"/>
      <c r="G1" s="78" t="s">
        <v>1189</v>
      </c>
      <c r="H1" s="78" t="s">
        <v>1190</v>
      </c>
    </row>
    <row r="3" spans="1:8" x14ac:dyDescent="0.25">
      <c r="A3" s="350" t="str">
        <f>"Tabela Referente à "&amp;G1</f>
        <v>Tabela Referente à Figura 2.34</v>
      </c>
      <c r="B3" s="350"/>
    </row>
    <row r="4" spans="1:8" ht="31.5" customHeight="1" x14ac:dyDescent="0.25">
      <c r="A4" s="351" t="str">
        <f>H1</f>
        <v>Variação do número de voos realizados por nacionalidade da empresa – mercado internacional, 2018/2017</v>
      </c>
      <c r="B4" s="351"/>
    </row>
    <row r="5" spans="1:8" x14ac:dyDescent="0.25">
      <c r="A5" s="1" t="s">
        <v>20</v>
      </c>
      <c r="B5" s="21" t="s">
        <v>107</v>
      </c>
    </row>
    <row r="6" spans="1:8" x14ac:dyDescent="0.25">
      <c r="A6" s="17" t="s">
        <v>105</v>
      </c>
      <c r="B6" s="76">
        <v>0.12518098219526511</v>
      </c>
      <c r="C6" s="78" t="s">
        <v>383</v>
      </c>
    </row>
    <row r="7" spans="1:8" x14ac:dyDescent="0.25">
      <c r="A7" s="18" t="s">
        <v>106</v>
      </c>
      <c r="B7" s="77">
        <v>0.1112969420919033</v>
      </c>
      <c r="C7" s="78" t="s">
        <v>384</v>
      </c>
    </row>
    <row r="8" spans="1:8" x14ac:dyDescent="0.25">
      <c r="A8" s="16"/>
      <c r="B8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Plan46"/>
  <dimension ref="A1:H26"/>
  <sheetViews>
    <sheetView showGridLines="0" workbookViewId="0">
      <selection activeCell="L4" sqref="L4"/>
    </sheetView>
  </sheetViews>
  <sheetFormatPr defaultRowHeight="15" x14ac:dyDescent="0.25"/>
  <cols>
    <col min="1" max="1" width="20.42578125" bestFit="1" customWidth="1"/>
    <col min="2" max="2" width="36.42578125" customWidth="1"/>
  </cols>
  <sheetData>
    <row r="1" spans="1:8" x14ac:dyDescent="0.25">
      <c r="C1" s="78"/>
      <c r="D1" s="78"/>
      <c r="E1" s="78"/>
      <c r="F1" s="78"/>
      <c r="G1" s="78" t="s">
        <v>1191</v>
      </c>
      <c r="H1" s="78" t="s">
        <v>1192</v>
      </c>
    </row>
    <row r="3" spans="1:8" x14ac:dyDescent="0.25">
      <c r="A3" s="350" t="str">
        <f>"Tabela Referente à "&amp;G1</f>
        <v>Tabela Referente à Figura 2.35</v>
      </c>
      <c r="B3" s="350"/>
    </row>
    <row r="4" spans="1:8" ht="30.75" customHeight="1" x14ac:dyDescent="0.25">
      <c r="A4" s="351" t="str">
        <f>H1</f>
        <v>Participação de mercado das maiores empresas em termos de voos realizados – mercado internacional, 2018</v>
      </c>
      <c r="B4" s="351"/>
    </row>
    <row r="5" spans="1:8" x14ac:dyDescent="0.25">
      <c r="A5" s="1" t="s">
        <v>7</v>
      </c>
      <c r="B5" s="21" t="s">
        <v>454</v>
      </c>
    </row>
    <row r="6" spans="1:8" x14ac:dyDescent="0.25">
      <c r="A6" s="27" t="s">
        <v>526</v>
      </c>
      <c r="B6" s="315">
        <v>0.1895143422157847</v>
      </c>
      <c r="C6" s="115">
        <f>SUM(B6:B9)/SUM(B6:B10)</f>
        <v>0.92229547549880841</v>
      </c>
    </row>
    <row r="7" spans="1:8" x14ac:dyDescent="0.25">
      <c r="A7" s="28" t="s">
        <v>59</v>
      </c>
      <c r="B7" s="182">
        <v>9.3487304642287883E-2</v>
      </c>
      <c r="C7" s="78"/>
    </row>
    <row r="8" spans="1:8" x14ac:dyDescent="0.25">
      <c r="A8" s="27" t="s">
        <v>60</v>
      </c>
      <c r="B8" s="315">
        <v>4.8539322870162771E-2</v>
      </c>
      <c r="C8" s="78"/>
    </row>
    <row r="9" spans="1:8" x14ac:dyDescent="0.25">
      <c r="A9" s="28" t="s">
        <v>102</v>
      </c>
      <c r="B9" s="182">
        <v>1.9127363638167423E-2</v>
      </c>
      <c r="C9" s="78"/>
    </row>
    <row r="10" spans="1:8" x14ac:dyDescent="0.25">
      <c r="A10" s="27" t="s">
        <v>61</v>
      </c>
      <c r="B10" s="315">
        <v>2.9544236988829145E-2</v>
      </c>
      <c r="C10" s="78"/>
    </row>
    <row r="11" spans="1:8" x14ac:dyDescent="0.25">
      <c r="A11" s="28" t="s">
        <v>108</v>
      </c>
      <c r="B11" s="182">
        <v>1.388916446754896E-4</v>
      </c>
      <c r="C11" s="78"/>
    </row>
    <row r="12" spans="1:8" x14ac:dyDescent="0.25">
      <c r="A12" s="27" t="s">
        <v>386</v>
      </c>
      <c r="B12" s="315">
        <v>5.6145293888106247E-2</v>
      </c>
    </row>
    <row r="13" spans="1:8" x14ac:dyDescent="0.25">
      <c r="A13" s="28" t="s">
        <v>455</v>
      </c>
      <c r="B13" s="182">
        <v>5.2527497238701829E-2</v>
      </c>
    </row>
    <row r="14" spans="1:8" x14ac:dyDescent="0.25">
      <c r="A14" s="27" t="s">
        <v>387</v>
      </c>
      <c r="B14" s="315">
        <v>5.1475889071873122E-2</v>
      </c>
    </row>
    <row r="15" spans="1:8" x14ac:dyDescent="0.25">
      <c r="A15" s="28" t="s">
        <v>109</v>
      </c>
      <c r="B15" s="182">
        <v>4.8089578496927847E-2</v>
      </c>
    </row>
    <row r="16" spans="1:8" x14ac:dyDescent="0.25">
      <c r="A16" s="27" t="s">
        <v>845</v>
      </c>
      <c r="B16" s="315">
        <v>2.6885454076469771E-2</v>
      </c>
    </row>
    <row r="17" spans="1:8" x14ac:dyDescent="0.25">
      <c r="A17" s="28" t="s">
        <v>110</v>
      </c>
      <c r="B17" s="182">
        <v>0.38452482522801379</v>
      </c>
      <c r="C17" s="78"/>
      <c r="D17" s="78"/>
    </row>
    <row r="18" spans="1:8" x14ac:dyDescent="0.25">
      <c r="A18" s="1" t="s">
        <v>10</v>
      </c>
      <c r="B18" s="316">
        <v>1</v>
      </c>
      <c r="C18" s="78"/>
      <c r="D18" s="78"/>
    </row>
    <row r="19" spans="1:8" x14ac:dyDescent="0.25">
      <c r="B19" s="115">
        <f>B7/SUM($B$6:$B$8)</f>
        <v>0.2819781359719119</v>
      </c>
      <c r="C19" s="78"/>
      <c r="D19" s="78"/>
    </row>
    <row r="20" spans="1:8" x14ac:dyDescent="0.25">
      <c r="B20" s="115">
        <f>B8/SUM($B$6:$B$8)</f>
        <v>0.1464052026811363</v>
      </c>
      <c r="C20" s="78"/>
      <c r="D20" s="78"/>
    </row>
    <row r="21" spans="1:8" x14ac:dyDescent="0.25">
      <c r="B21" s="78"/>
      <c r="C21" s="78"/>
      <c r="D21" s="78"/>
    </row>
    <row r="22" spans="1:8" x14ac:dyDescent="0.25">
      <c r="B22" s="78"/>
    </row>
    <row r="24" spans="1:8" x14ac:dyDescent="0.25">
      <c r="H24" s="82"/>
    </row>
    <row r="25" spans="1:8" x14ac:dyDescent="0.25">
      <c r="H25" s="82"/>
    </row>
    <row r="26" spans="1:8" x14ac:dyDescent="0.25">
      <c r="H26" s="82"/>
    </row>
  </sheetData>
  <sortState xmlns:xlrd2="http://schemas.microsoft.com/office/spreadsheetml/2017/richdata2" ref="A11:B15">
    <sortCondition descending="1" ref="B11:B15"/>
  </sortState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Plan47"/>
  <dimension ref="A1:H18"/>
  <sheetViews>
    <sheetView showGridLines="0" workbookViewId="0">
      <selection activeCell="B9" sqref="B9"/>
    </sheetView>
  </sheetViews>
  <sheetFormatPr defaultRowHeight="15" x14ac:dyDescent="0.25"/>
  <cols>
    <col min="1" max="1" width="20.42578125" bestFit="1" customWidth="1"/>
    <col min="2" max="2" width="39.42578125" customWidth="1"/>
  </cols>
  <sheetData>
    <row r="1" spans="1:8" x14ac:dyDescent="0.25">
      <c r="C1" s="78"/>
      <c r="D1" s="78"/>
      <c r="E1" s="78"/>
      <c r="F1" s="78"/>
      <c r="G1" s="78" t="s">
        <v>1193</v>
      </c>
      <c r="H1" s="78" t="s">
        <v>1194</v>
      </c>
    </row>
    <row r="3" spans="1:8" x14ac:dyDescent="0.25">
      <c r="A3" s="350" t="str">
        <f>"Tabela Referente à "&amp;G1</f>
        <v>Tabela Referente à Figura 2.36</v>
      </c>
      <c r="B3" s="350"/>
    </row>
    <row r="4" spans="1:8" ht="30.75" customHeight="1" x14ac:dyDescent="0.25">
      <c r="A4" s="351" t="str">
        <f>H1</f>
        <v>Variação na quantidade de voos realizados pelas maiores empresas – mercado internacional, 2018/2017</v>
      </c>
      <c r="B4" s="351"/>
    </row>
    <row r="5" spans="1:8" x14ac:dyDescent="0.25">
      <c r="A5" s="1" t="s">
        <v>7</v>
      </c>
      <c r="B5" s="21" t="s">
        <v>454</v>
      </c>
    </row>
    <row r="6" spans="1:8" x14ac:dyDescent="0.25">
      <c r="A6" s="27" t="s">
        <v>526</v>
      </c>
      <c r="B6" s="10">
        <v>3.852705592403316E-2</v>
      </c>
    </row>
    <row r="7" spans="1:8" x14ac:dyDescent="0.25">
      <c r="A7" s="28" t="s">
        <v>59</v>
      </c>
      <c r="B7" s="11">
        <v>-2.1178962230851139E-3</v>
      </c>
    </row>
    <row r="8" spans="1:8" x14ac:dyDescent="0.25">
      <c r="A8" s="27" t="s">
        <v>60</v>
      </c>
      <c r="B8" s="76">
        <v>0.50512715340442993</v>
      </c>
    </row>
    <row r="9" spans="1:8" x14ac:dyDescent="0.25">
      <c r="A9" s="28" t="s">
        <v>102</v>
      </c>
      <c r="B9" s="11">
        <v>7.3895284069810607E-2</v>
      </c>
    </row>
    <row r="10" spans="1:8" x14ac:dyDescent="0.25">
      <c r="A10" s="27" t="s">
        <v>61</v>
      </c>
      <c r="B10" s="10">
        <v>1.5025210084033613</v>
      </c>
    </row>
    <row r="11" spans="1:8" x14ac:dyDescent="0.25">
      <c r="A11" s="28" t="s">
        <v>108</v>
      </c>
      <c r="B11" s="11" t="s">
        <v>369</v>
      </c>
    </row>
    <row r="12" spans="1:8" x14ac:dyDescent="0.25">
      <c r="A12" s="27" t="s">
        <v>386</v>
      </c>
      <c r="B12" s="10">
        <v>1.1679180073888684E-2</v>
      </c>
    </row>
    <row r="13" spans="1:8" x14ac:dyDescent="0.25">
      <c r="A13" s="28" t="s">
        <v>455</v>
      </c>
      <c r="B13" s="11">
        <v>0.1688005886681383</v>
      </c>
    </row>
    <row r="14" spans="1:8" x14ac:dyDescent="0.25">
      <c r="A14" s="27" t="s">
        <v>387</v>
      </c>
      <c r="B14" s="10">
        <v>0.12944420258307932</v>
      </c>
    </row>
    <row r="15" spans="1:8" x14ac:dyDescent="0.25">
      <c r="A15" s="28" t="s">
        <v>109</v>
      </c>
      <c r="B15" s="11">
        <v>-3.554848123093246E-2</v>
      </c>
    </row>
    <row r="16" spans="1:8" x14ac:dyDescent="0.25">
      <c r="A16" s="27" t="s">
        <v>845</v>
      </c>
      <c r="B16" s="10">
        <v>0.66735028712059075</v>
      </c>
    </row>
    <row r="17" spans="1:2" x14ac:dyDescent="0.25">
      <c r="A17" s="1" t="s">
        <v>110</v>
      </c>
      <c r="B17" s="170">
        <v>0.11266554390262584</v>
      </c>
    </row>
    <row r="18" spans="1:2" x14ac:dyDescent="0.25">
      <c r="A18" t="s">
        <v>10</v>
      </c>
      <c r="B18">
        <v>0.11653718910616173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Plan48"/>
  <dimension ref="A1:H13"/>
  <sheetViews>
    <sheetView showGridLines="0" workbookViewId="0">
      <selection activeCell="A5" sqref="A5:C11"/>
    </sheetView>
  </sheetViews>
  <sheetFormatPr defaultRowHeight="15" x14ac:dyDescent="0.25"/>
  <cols>
    <col min="1" max="1" width="20.42578125" bestFit="1" customWidth="1"/>
    <col min="2" max="3" width="26.28515625" customWidth="1"/>
  </cols>
  <sheetData>
    <row r="1" spans="1:8" x14ac:dyDescent="0.25">
      <c r="C1" s="78"/>
      <c r="D1" s="78"/>
      <c r="E1" s="78"/>
      <c r="F1" s="78"/>
      <c r="G1" s="78" t="s">
        <v>1195</v>
      </c>
      <c r="H1" s="78" t="s">
        <v>1196</v>
      </c>
    </row>
    <row r="3" spans="1:8" x14ac:dyDescent="0.25">
      <c r="A3" s="350" t="str">
        <f>"Tabela Referente à "&amp;G1</f>
        <v>Tabela Referente à Figura 2.37</v>
      </c>
      <c r="B3" s="350"/>
      <c r="C3" s="350"/>
    </row>
    <row r="4" spans="1:8" x14ac:dyDescent="0.25">
      <c r="A4" s="351" t="str">
        <f>H1</f>
        <v>Quantidade de voos entre Brasil e outros países, por continente, 2017 e 2018</v>
      </c>
      <c r="B4" s="351"/>
      <c r="C4" s="351"/>
    </row>
    <row r="5" spans="1:8" x14ac:dyDescent="0.25">
      <c r="A5" s="1" t="s">
        <v>111</v>
      </c>
      <c r="B5" s="21">
        <v>2017</v>
      </c>
      <c r="C5" s="21">
        <v>2018</v>
      </c>
    </row>
    <row r="6" spans="1:8" x14ac:dyDescent="0.25">
      <c r="A6" s="27" t="s">
        <v>459</v>
      </c>
      <c r="B6" s="7">
        <v>60802</v>
      </c>
      <c r="C6" s="7">
        <v>68146</v>
      </c>
    </row>
    <row r="7" spans="1:8" x14ac:dyDescent="0.25">
      <c r="A7" s="28" t="s">
        <v>461</v>
      </c>
      <c r="B7" s="8">
        <v>25644</v>
      </c>
      <c r="C7" s="8">
        <v>28943</v>
      </c>
    </row>
    <row r="8" spans="1:8" x14ac:dyDescent="0.25">
      <c r="A8" s="27" t="s">
        <v>460</v>
      </c>
      <c r="B8" s="7">
        <v>23796</v>
      </c>
      <c r="C8" s="7">
        <v>27521</v>
      </c>
    </row>
    <row r="9" spans="1:8" x14ac:dyDescent="0.25">
      <c r="A9" s="28" t="s">
        <v>462</v>
      </c>
      <c r="B9" s="8">
        <v>9127</v>
      </c>
      <c r="C9" s="8">
        <v>9433</v>
      </c>
    </row>
    <row r="10" spans="1:8" x14ac:dyDescent="0.25">
      <c r="A10" s="27" t="s">
        <v>464</v>
      </c>
      <c r="B10" s="7">
        <v>3199</v>
      </c>
      <c r="C10" s="7">
        <v>3799</v>
      </c>
    </row>
    <row r="11" spans="1:8" x14ac:dyDescent="0.25">
      <c r="A11" s="28" t="s">
        <v>463</v>
      </c>
      <c r="B11" s="8">
        <v>2962</v>
      </c>
      <c r="C11" s="8">
        <v>3082</v>
      </c>
    </row>
    <row r="12" spans="1:8" x14ac:dyDescent="0.25">
      <c r="A12" s="1"/>
      <c r="B12" s="21"/>
      <c r="C12" s="21"/>
    </row>
    <row r="13" spans="1:8" x14ac:dyDescent="0.25">
      <c r="B13" s="78">
        <f>B5</f>
        <v>2017</v>
      </c>
      <c r="C13" s="78">
        <f>C5</f>
        <v>2018</v>
      </c>
    </row>
  </sheetData>
  <sortState xmlns:xlrd2="http://schemas.microsoft.com/office/spreadsheetml/2017/richdata2" ref="A6:C11">
    <sortCondition descending="1" ref="C6:C11"/>
  </sortState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8"/>
  <dimension ref="A1:H22"/>
  <sheetViews>
    <sheetView showGridLines="0" workbookViewId="0">
      <selection activeCell="A5" sqref="A5:D22"/>
    </sheetView>
  </sheetViews>
  <sheetFormatPr defaultRowHeight="15" x14ac:dyDescent="0.25"/>
  <cols>
    <col min="1" max="1" width="21" customWidth="1"/>
    <col min="2" max="2" width="14.7109375" customWidth="1"/>
    <col min="3" max="3" width="14.5703125" customWidth="1"/>
  </cols>
  <sheetData>
    <row r="1" spans="1:8" x14ac:dyDescent="0.25">
      <c r="C1" s="78"/>
      <c r="D1" s="78"/>
      <c r="E1" s="78"/>
      <c r="F1" s="78"/>
      <c r="G1" s="78" t="s">
        <v>1125</v>
      </c>
      <c r="H1" s="78" t="s">
        <v>1126</v>
      </c>
    </row>
    <row r="3" spans="1:8" x14ac:dyDescent="0.25">
      <c r="A3" s="350" t="str">
        <f>"Tabela Referente à "&amp;G1</f>
        <v>Tabela Referente à Figura 1.4</v>
      </c>
      <c r="B3" s="350"/>
      <c r="C3" s="350"/>
      <c r="D3" s="350"/>
    </row>
    <row r="4" spans="1:8" ht="30.75" customHeight="1" x14ac:dyDescent="0.25">
      <c r="A4" s="351" t="str">
        <f>H1</f>
        <v>Proporção de pilotos e co-pilotos no total de empregados – empresas aéreas brasileiras, 2016 a 2018</v>
      </c>
      <c r="B4" s="351"/>
      <c r="C4" s="351"/>
      <c r="D4" s="351"/>
    </row>
    <row r="5" spans="1:8" x14ac:dyDescent="0.25">
      <c r="A5" s="1" t="s">
        <v>7</v>
      </c>
      <c r="B5" s="121">
        <v>2016</v>
      </c>
      <c r="C5" s="121">
        <v>2017</v>
      </c>
      <c r="D5" s="121">
        <v>2018</v>
      </c>
    </row>
    <row r="6" spans="1:8" x14ac:dyDescent="0.25">
      <c r="A6" s="15" t="s">
        <v>415</v>
      </c>
      <c r="B6" s="77">
        <v>1</v>
      </c>
      <c r="C6" s="77">
        <v>1</v>
      </c>
      <c r="D6" s="77" t="s">
        <v>868</v>
      </c>
    </row>
    <row r="7" spans="1:8" x14ac:dyDescent="0.25">
      <c r="A7" s="14" t="s">
        <v>60</v>
      </c>
      <c r="B7" s="76">
        <v>0.14117992368652774</v>
      </c>
      <c r="C7" s="76">
        <v>0.14628040057224606</v>
      </c>
      <c r="D7" s="76">
        <v>0.14285714285714285</v>
      </c>
    </row>
    <row r="8" spans="1:8" x14ac:dyDescent="0.25">
      <c r="A8" s="15" t="s">
        <v>453</v>
      </c>
      <c r="B8" s="77">
        <v>0.12727272727272726</v>
      </c>
      <c r="C8" s="77" t="s">
        <v>868</v>
      </c>
      <c r="D8" s="77" t="s">
        <v>868</v>
      </c>
    </row>
    <row r="9" spans="1:8" x14ac:dyDescent="0.25">
      <c r="A9" s="14" t="s">
        <v>59</v>
      </c>
      <c r="B9" s="76">
        <v>0.10529446757882213</v>
      </c>
      <c r="C9" s="76">
        <v>0.11452261719070683</v>
      </c>
      <c r="D9" s="76">
        <v>0.11633602743081067</v>
      </c>
    </row>
    <row r="10" spans="1:8" x14ac:dyDescent="0.25">
      <c r="A10" s="15" t="s">
        <v>102</v>
      </c>
      <c r="B10" s="77">
        <v>0.27715355805243447</v>
      </c>
      <c r="C10" s="77">
        <v>0.35023041474654376</v>
      </c>
      <c r="D10" s="77">
        <v>0.36893203883495146</v>
      </c>
    </row>
    <row r="11" spans="1:8" x14ac:dyDescent="0.25">
      <c r="A11" s="14" t="s">
        <v>61</v>
      </c>
      <c r="B11" s="76">
        <v>0.10103228640456842</v>
      </c>
      <c r="C11" s="76">
        <v>0.11524094135226</v>
      </c>
      <c r="D11" s="76" t="s">
        <v>868</v>
      </c>
    </row>
    <row r="12" spans="1:8" x14ac:dyDescent="0.25">
      <c r="A12" s="15" t="s">
        <v>394</v>
      </c>
      <c r="B12" s="77">
        <v>0.12258064516129032</v>
      </c>
      <c r="C12" s="77">
        <v>0.1206896551724138</v>
      </c>
      <c r="D12" s="77">
        <v>9.405940594059406E-2</v>
      </c>
    </row>
    <row r="13" spans="1:8" x14ac:dyDescent="0.25">
      <c r="A13" s="14" t="s">
        <v>62</v>
      </c>
      <c r="B13" s="76">
        <v>0.16577540106951871</v>
      </c>
      <c r="C13" s="76">
        <v>0.11583924349881797</v>
      </c>
      <c r="D13" s="76">
        <v>0.1302170283806344</v>
      </c>
    </row>
    <row r="14" spans="1:8" x14ac:dyDescent="0.25">
      <c r="A14" s="15" t="s">
        <v>447</v>
      </c>
      <c r="B14" s="77">
        <v>0.19090909090909092</v>
      </c>
      <c r="C14" s="77">
        <v>0</v>
      </c>
      <c r="D14" s="77" t="s">
        <v>868</v>
      </c>
    </row>
    <row r="15" spans="1:8" x14ac:dyDescent="0.25">
      <c r="A15" s="14" t="s">
        <v>414</v>
      </c>
      <c r="B15" s="76">
        <v>0.25225225225225223</v>
      </c>
      <c r="C15" s="76">
        <v>0.23214285714285715</v>
      </c>
      <c r="D15" s="76">
        <v>0.19798657718120805</v>
      </c>
    </row>
    <row r="16" spans="1:8" x14ac:dyDescent="0.25">
      <c r="A16" s="14" t="s">
        <v>103</v>
      </c>
      <c r="B16" s="76">
        <v>0</v>
      </c>
      <c r="C16" s="76" t="s">
        <v>868</v>
      </c>
      <c r="D16" s="76" t="s">
        <v>868</v>
      </c>
    </row>
    <row r="17" spans="1:4" x14ac:dyDescent="0.25">
      <c r="A17" s="15" t="s">
        <v>523</v>
      </c>
      <c r="B17" s="77">
        <v>0.2857142857142857</v>
      </c>
      <c r="C17" s="77" t="s">
        <v>868</v>
      </c>
      <c r="D17" s="77" t="s">
        <v>868</v>
      </c>
    </row>
    <row r="18" spans="1:4" x14ac:dyDescent="0.25">
      <c r="A18" s="14" t="s">
        <v>526</v>
      </c>
      <c r="B18" s="76">
        <v>8.033494701033625E-2</v>
      </c>
      <c r="C18" s="76">
        <v>8.7493707957717479E-2</v>
      </c>
      <c r="D18" s="76">
        <v>0.10703282694146393</v>
      </c>
    </row>
    <row r="19" spans="1:4" x14ac:dyDescent="0.25">
      <c r="A19" s="15" t="s">
        <v>399</v>
      </c>
      <c r="B19" s="77">
        <v>8.8235294117647065E-2</v>
      </c>
      <c r="C19" s="77">
        <v>8.5561497326203204E-2</v>
      </c>
      <c r="D19" s="77">
        <v>8.6956521739130432E-2</v>
      </c>
    </row>
    <row r="20" spans="1:4" x14ac:dyDescent="0.25">
      <c r="A20" s="14" t="s">
        <v>721</v>
      </c>
      <c r="B20" s="76" t="s">
        <v>868</v>
      </c>
      <c r="C20" s="76">
        <v>9.8360655737704916E-2</v>
      </c>
      <c r="D20" s="76">
        <v>0.12</v>
      </c>
    </row>
    <row r="21" spans="1:4" x14ac:dyDescent="0.25">
      <c r="A21" s="16" t="s">
        <v>818</v>
      </c>
      <c r="B21" s="16" t="s">
        <v>868</v>
      </c>
      <c r="C21" s="16" t="s">
        <v>868</v>
      </c>
      <c r="D21" s="16">
        <v>0.48550724637681159</v>
      </c>
    </row>
    <row r="22" spans="1:4" x14ac:dyDescent="0.25">
      <c r="A22" t="s">
        <v>10</v>
      </c>
      <c r="B22">
        <v>0.1037118303163284</v>
      </c>
      <c r="C22">
        <v>0.11154117490037561</v>
      </c>
      <c r="D22">
        <v>0.12237046920169002</v>
      </c>
    </row>
  </sheetData>
  <mergeCells count="2">
    <mergeCell ref="A4:D4"/>
    <mergeCell ref="A3:D3"/>
  </mergeCells>
  <pageMargins left="0.511811024" right="0.511811024" top="0.78740157499999996" bottom="0.78740157499999996" header="0.31496062000000002" footer="0.31496062000000002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Plan49"/>
  <dimension ref="A1:H27"/>
  <sheetViews>
    <sheetView showGridLines="0" zoomScaleNormal="100" workbookViewId="0">
      <selection activeCell="A5" sqref="A5:C25"/>
    </sheetView>
  </sheetViews>
  <sheetFormatPr defaultRowHeight="15" x14ac:dyDescent="0.25"/>
  <cols>
    <col min="1" max="1" width="27.42578125" bestFit="1" customWidth="1"/>
    <col min="2" max="2" width="39.42578125" customWidth="1"/>
    <col min="3" max="3" width="39.28515625" bestFit="1" customWidth="1"/>
  </cols>
  <sheetData>
    <row r="1" spans="1:8" x14ac:dyDescent="0.25">
      <c r="C1" s="78"/>
      <c r="D1" s="78"/>
      <c r="E1" s="78"/>
      <c r="F1" s="78"/>
      <c r="G1" s="78" t="s">
        <v>1197</v>
      </c>
      <c r="H1" s="78" t="s">
        <v>1198</v>
      </c>
    </row>
    <row r="3" spans="1:8" x14ac:dyDescent="0.25">
      <c r="A3" s="350" t="str">
        <f>"Tabela Referente à "&amp;G1</f>
        <v>Tabela Referente à Figura 2.38</v>
      </c>
      <c r="B3" s="350"/>
      <c r="C3" s="350"/>
    </row>
    <row r="4" spans="1:8" x14ac:dyDescent="0.25">
      <c r="A4" s="351" t="str">
        <f>H1</f>
        <v>Quantidade de voos realizados entre o Brasil e os 20 principais destinos internacionais, 2017 e 2018</v>
      </c>
      <c r="B4" s="351"/>
      <c r="C4" s="351"/>
    </row>
    <row r="5" spans="1:8" x14ac:dyDescent="0.25">
      <c r="A5" s="1" t="s">
        <v>112</v>
      </c>
      <c r="B5" s="21">
        <v>2017</v>
      </c>
      <c r="C5" s="21">
        <v>2018</v>
      </c>
    </row>
    <row r="6" spans="1:8" x14ac:dyDescent="0.25">
      <c r="A6" s="27" t="s">
        <v>466</v>
      </c>
      <c r="B6" s="7">
        <v>28602</v>
      </c>
      <c r="C6" s="7">
        <v>31870</v>
      </c>
    </row>
    <row r="7" spans="1:8" x14ac:dyDescent="0.25">
      <c r="A7" s="28" t="s">
        <v>465</v>
      </c>
      <c r="B7" s="8">
        <v>23425</v>
      </c>
      <c r="C7" s="8">
        <v>26517</v>
      </c>
    </row>
    <row r="8" spans="1:8" x14ac:dyDescent="0.25">
      <c r="A8" s="27" t="s">
        <v>468</v>
      </c>
      <c r="B8" s="7">
        <v>11601</v>
      </c>
      <c r="C8" s="7">
        <v>13823</v>
      </c>
    </row>
    <row r="9" spans="1:8" x14ac:dyDescent="0.25">
      <c r="A9" s="28" t="s">
        <v>467</v>
      </c>
      <c r="B9" s="8">
        <v>7526</v>
      </c>
      <c r="C9" s="8">
        <v>8732</v>
      </c>
    </row>
    <row r="10" spans="1:8" x14ac:dyDescent="0.25">
      <c r="A10" s="27" t="s">
        <v>471</v>
      </c>
      <c r="B10" s="7">
        <v>8402</v>
      </c>
      <c r="C10" s="7">
        <v>8481</v>
      </c>
    </row>
    <row r="11" spans="1:8" x14ac:dyDescent="0.25">
      <c r="A11" s="28" t="s">
        <v>474</v>
      </c>
      <c r="B11" s="8">
        <v>5522</v>
      </c>
      <c r="C11" s="8">
        <v>5266</v>
      </c>
    </row>
    <row r="12" spans="1:8" x14ac:dyDescent="0.25">
      <c r="A12" s="27" t="s">
        <v>473</v>
      </c>
      <c r="B12" s="7">
        <v>4799</v>
      </c>
      <c r="C12" s="7">
        <v>5136</v>
      </c>
    </row>
    <row r="13" spans="1:8" x14ac:dyDescent="0.25">
      <c r="A13" s="28" t="s">
        <v>477</v>
      </c>
      <c r="B13" s="8">
        <v>4418</v>
      </c>
      <c r="C13" s="8">
        <v>4973</v>
      </c>
    </row>
    <row r="14" spans="1:8" x14ac:dyDescent="0.25">
      <c r="A14" s="27" t="s">
        <v>469</v>
      </c>
      <c r="B14" s="7">
        <v>3803</v>
      </c>
      <c r="C14" s="7">
        <v>4133</v>
      </c>
    </row>
    <row r="15" spans="1:8" x14ac:dyDescent="0.25">
      <c r="A15" s="28" t="s">
        <v>481</v>
      </c>
      <c r="B15" s="8">
        <v>2773</v>
      </c>
      <c r="C15" s="8">
        <v>3739</v>
      </c>
    </row>
    <row r="16" spans="1:8" x14ac:dyDescent="0.25">
      <c r="A16" s="27" t="s">
        <v>470</v>
      </c>
      <c r="B16" s="7">
        <v>2729</v>
      </c>
      <c r="C16" s="7">
        <v>3247</v>
      </c>
    </row>
    <row r="17" spans="1:3" x14ac:dyDescent="0.25">
      <c r="A17" s="28" t="s">
        <v>476</v>
      </c>
      <c r="B17" s="8">
        <v>2096</v>
      </c>
      <c r="C17" s="8">
        <v>3165</v>
      </c>
    </row>
    <row r="18" spans="1:3" x14ac:dyDescent="0.25">
      <c r="A18" s="27" t="s">
        <v>472</v>
      </c>
      <c r="B18" s="7">
        <v>2535</v>
      </c>
      <c r="C18" s="7">
        <v>2543</v>
      </c>
    </row>
    <row r="19" spans="1:3" x14ac:dyDescent="0.25">
      <c r="A19" s="28" t="s">
        <v>475</v>
      </c>
      <c r="B19" s="8">
        <v>2019</v>
      </c>
      <c r="C19" s="8">
        <v>2266</v>
      </c>
    </row>
    <row r="20" spans="1:3" x14ac:dyDescent="0.25">
      <c r="A20" s="27" t="s">
        <v>479</v>
      </c>
      <c r="B20" s="7">
        <v>1645</v>
      </c>
      <c r="C20" s="7">
        <v>1857</v>
      </c>
    </row>
    <row r="21" spans="1:3" x14ac:dyDescent="0.25">
      <c r="A21" s="28" t="s">
        <v>480</v>
      </c>
      <c r="B21" s="8">
        <v>1492</v>
      </c>
      <c r="C21" s="8">
        <v>1698</v>
      </c>
    </row>
    <row r="22" spans="1:3" x14ac:dyDescent="0.25">
      <c r="A22" s="27" t="s">
        <v>478</v>
      </c>
      <c r="B22" s="7">
        <v>1622</v>
      </c>
      <c r="C22" s="7">
        <v>1658</v>
      </c>
    </row>
    <row r="23" spans="1:3" x14ac:dyDescent="0.25">
      <c r="A23" s="28" t="s">
        <v>520</v>
      </c>
      <c r="B23" s="8">
        <v>1459</v>
      </c>
      <c r="C23" s="8">
        <v>1413</v>
      </c>
    </row>
    <row r="24" spans="1:3" x14ac:dyDescent="0.25">
      <c r="A24" s="27" t="s">
        <v>567</v>
      </c>
      <c r="B24" s="7">
        <v>1159</v>
      </c>
      <c r="C24" s="7">
        <v>1250</v>
      </c>
    </row>
    <row r="25" spans="1:3" x14ac:dyDescent="0.25">
      <c r="A25" s="28" t="s">
        <v>827</v>
      </c>
      <c r="B25" s="8">
        <v>844</v>
      </c>
      <c r="C25" s="8">
        <v>1013</v>
      </c>
    </row>
    <row r="26" spans="1:3" x14ac:dyDescent="0.25">
      <c r="A26" s="1"/>
      <c r="B26" s="21"/>
      <c r="C26" s="21"/>
    </row>
    <row r="27" spans="1:3" x14ac:dyDescent="0.25">
      <c r="B27" s="78">
        <f>B5</f>
        <v>2017</v>
      </c>
      <c r="C27" s="78">
        <f>C5</f>
        <v>2018</v>
      </c>
    </row>
  </sheetData>
  <sortState xmlns:xlrd2="http://schemas.microsoft.com/office/spreadsheetml/2017/richdata2" ref="A6:C25">
    <sortCondition descending="1" ref="C6:C25"/>
  </sortState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Plan50"/>
  <dimension ref="A1:H17"/>
  <sheetViews>
    <sheetView showGridLines="0" workbookViewId="0">
      <selection activeCell="A5" sqref="A5:B15"/>
    </sheetView>
  </sheetViews>
  <sheetFormatPr defaultRowHeight="15" x14ac:dyDescent="0.25"/>
  <cols>
    <col min="1" max="1" width="20" customWidth="1"/>
    <col min="2" max="2" width="30" customWidth="1"/>
    <col min="3" max="3" width="18.7109375" customWidth="1"/>
  </cols>
  <sheetData>
    <row r="1" spans="1:8" x14ac:dyDescent="0.25">
      <c r="C1" s="78"/>
      <c r="D1" s="78"/>
      <c r="E1" s="78"/>
      <c r="F1" s="78"/>
      <c r="G1" s="78" t="s">
        <v>1199</v>
      </c>
      <c r="H1" s="78" t="s">
        <v>1200</v>
      </c>
    </row>
    <row r="3" spans="1:8" x14ac:dyDescent="0.25">
      <c r="A3" s="350" t="str">
        <f>"Tabela Referente à "&amp;G1</f>
        <v>Tabela Referente à Figura 2.39</v>
      </c>
      <c r="B3" s="350"/>
    </row>
    <row r="4" spans="1:8" ht="16.5" customHeight="1" x14ac:dyDescent="0.25">
      <c r="A4" s="351" t="str">
        <f>H1</f>
        <v>Evolução do ASK – mercado internacional, 2009 a 2018</v>
      </c>
      <c r="B4" s="351"/>
    </row>
    <row r="5" spans="1:8" x14ac:dyDescent="0.25">
      <c r="A5" s="1" t="s">
        <v>20</v>
      </c>
      <c r="B5" s="21" t="s">
        <v>488</v>
      </c>
      <c r="C5" s="78"/>
    </row>
    <row r="6" spans="1:8" x14ac:dyDescent="0.25">
      <c r="A6" s="17">
        <v>2009</v>
      </c>
      <c r="B6" s="23">
        <v>101808274860</v>
      </c>
      <c r="C6" s="114"/>
    </row>
    <row r="7" spans="1:8" x14ac:dyDescent="0.25">
      <c r="A7" s="18">
        <v>2010</v>
      </c>
      <c r="B7" s="24">
        <v>115446076490</v>
      </c>
      <c r="C7" s="114">
        <f t="shared" ref="C7:C14" si="0">B7/B6-1</f>
        <v>0.13395572853732962</v>
      </c>
    </row>
    <row r="8" spans="1:8" x14ac:dyDescent="0.25">
      <c r="A8" s="17">
        <v>2011</v>
      </c>
      <c r="B8" s="23">
        <v>131664331587</v>
      </c>
      <c r="C8" s="114">
        <f t="shared" si="0"/>
        <v>0.14048338055390586</v>
      </c>
    </row>
    <row r="9" spans="1:8" x14ac:dyDescent="0.25">
      <c r="A9" s="18">
        <v>2012</v>
      </c>
      <c r="B9" s="24">
        <v>144492129751</v>
      </c>
      <c r="C9" s="114">
        <f t="shared" si="0"/>
        <v>9.7428043034751388E-2</v>
      </c>
    </row>
    <row r="10" spans="1:8" x14ac:dyDescent="0.25">
      <c r="A10" s="17">
        <v>2013</v>
      </c>
      <c r="B10" s="23">
        <v>151002150714</v>
      </c>
      <c r="C10" s="114">
        <f t="shared" si="0"/>
        <v>4.5054502097924498E-2</v>
      </c>
    </row>
    <row r="11" spans="1:8" x14ac:dyDescent="0.25">
      <c r="A11" s="18">
        <v>2014</v>
      </c>
      <c r="B11" s="24">
        <v>163145704001</v>
      </c>
      <c r="C11" s="114">
        <f t="shared" si="0"/>
        <v>8.0419737265862157E-2</v>
      </c>
    </row>
    <row r="12" spans="1:8" x14ac:dyDescent="0.25">
      <c r="A12" s="17">
        <v>2015</v>
      </c>
      <c r="B12" s="23">
        <v>166897175591</v>
      </c>
      <c r="C12" s="114">
        <f t="shared" si="0"/>
        <v>2.2994608487986845E-2</v>
      </c>
    </row>
    <row r="13" spans="1:8" x14ac:dyDescent="0.25">
      <c r="A13" s="18">
        <v>2016</v>
      </c>
      <c r="B13" s="24">
        <v>155804900552</v>
      </c>
      <c r="C13" s="114">
        <f t="shared" si="0"/>
        <v>-6.6461730102508443E-2</v>
      </c>
    </row>
    <row r="14" spans="1:8" x14ac:dyDescent="0.25">
      <c r="A14" s="17">
        <v>2017</v>
      </c>
      <c r="B14" s="23">
        <v>152971601156</v>
      </c>
      <c r="C14" s="114">
        <f t="shared" si="0"/>
        <v>-1.8184918355981905E-2</v>
      </c>
    </row>
    <row r="15" spans="1:8" x14ac:dyDescent="0.25">
      <c r="A15" s="18">
        <v>2018</v>
      </c>
      <c r="B15" s="24">
        <v>171979371326</v>
      </c>
      <c r="C15" s="114">
        <f>B15/B14-1</f>
        <v>0.12425685569320755</v>
      </c>
    </row>
    <row r="16" spans="1:8" x14ac:dyDescent="0.25">
      <c r="A16" s="16"/>
      <c r="B16" s="9"/>
      <c r="C16" s="78"/>
    </row>
    <row r="17" spans="2:3" x14ac:dyDescent="0.25">
      <c r="B17" s="147" t="str">
        <f>IF((B15/B6-1)&gt;0,"+","")&amp;ROUND((B15/B6-1)*100,0)&amp;"%"</f>
        <v>+69%</v>
      </c>
      <c r="C17" s="114">
        <f>(1+B17)^(1/9)-1</f>
        <v>6.0036318085307405E-2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Plan51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1201</v>
      </c>
      <c r="H1" s="78" t="s">
        <v>1202</v>
      </c>
    </row>
    <row r="3" spans="1:8" x14ac:dyDescent="0.25">
      <c r="A3" s="350" t="str">
        <f>"Tabela Referente à "&amp;G1</f>
        <v>Tabela Referente à Figura 2.40</v>
      </c>
      <c r="B3" s="350"/>
    </row>
    <row r="4" spans="1:8" ht="29.25" customHeight="1" x14ac:dyDescent="0.25">
      <c r="A4" s="351" t="str">
        <f>H1</f>
        <v>Variação no ASK em relação ao ano anterior – mercado internacional, 2009 a 2018</v>
      </c>
      <c r="B4" s="351"/>
    </row>
    <row r="5" spans="1:8" x14ac:dyDescent="0.25">
      <c r="A5" s="1" t="s">
        <v>20</v>
      </c>
      <c r="B5" s="21" t="s">
        <v>488</v>
      </c>
    </row>
    <row r="6" spans="1:8" x14ac:dyDescent="0.25">
      <c r="A6" s="17">
        <v>2009</v>
      </c>
      <c r="B6" s="19">
        <v>9.1393501362618083E-3</v>
      </c>
    </row>
    <row r="7" spans="1:8" x14ac:dyDescent="0.25">
      <c r="A7" s="18">
        <v>2010</v>
      </c>
      <c r="B7" s="20">
        <v>0.13395572853732962</v>
      </c>
    </row>
    <row r="8" spans="1:8" x14ac:dyDescent="0.25">
      <c r="A8" s="17">
        <v>2011</v>
      </c>
      <c r="B8" s="19">
        <v>0.14048338055390591</v>
      </c>
    </row>
    <row r="9" spans="1:8" x14ac:dyDescent="0.25">
      <c r="A9" s="18">
        <v>2012</v>
      </c>
      <c r="B9" s="20">
        <v>9.7428043034751291E-2</v>
      </c>
    </row>
    <row r="10" spans="1:8" x14ac:dyDescent="0.25">
      <c r="A10" s="17">
        <v>2013</v>
      </c>
      <c r="B10" s="19">
        <v>4.5054502097924443E-2</v>
      </c>
    </row>
    <row r="11" spans="1:8" x14ac:dyDescent="0.25">
      <c r="A11" s="18">
        <v>2014</v>
      </c>
      <c r="B11" s="20">
        <v>8.0419737265862157E-2</v>
      </c>
    </row>
    <row r="12" spans="1:8" x14ac:dyDescent="0.25">
      <c r="A12" s="17">
        <v>2015</v>
      </c>
      <c r="B12" s="19">
        <v>2.2994608487986942E-2</v>
      </c>
    </row>
    <row r="13" spans="1:8" x14ac:dyDescent="0.25">
      <c r="A13" s="18">
        <v>2016</v>
      </c>
      <c r="B13" s="20">
        <v>-6.6461730102508429E-2</v>
      </c>
    </row>
    <row r="14" spans="1:8" x14ac:dyDescent="0.25">
      <c r="A14" s="17">
        <v>2017</v>
      </c>
      <c r="B14" s="19">
        <v>-1.8184918355981905E-2</v>
      </c>
    </row>
    <row r="15" spans="1:8" x14ac:dyDescent="0.25">
      <c r="A15" s="18">
        <v>2018</v>
      </c>
      <c r="B15" s="20">
        <v>0.12425685569320759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Plan52"/>
  <dimension ref="A1:H17"/>
  <sheetViews>
    <sheetView showGridLines="0" workbookViewId="0">
      <selection activeCell="A5" sqref="A5:C15"/>
    </sheetView>
  </sheetViews>
  <sheetFormatPr defaultColWidth="18.5703125" defaultRowHeight="15" x14ac:dyDescent="0.25"/>
  <cols>
    <col min="2" max="2" width="19.28515625" bestFit="1" customWidth="1"/>
    <col min="3" max="3" width="20.85546875" bestFit="1" customWidth="1"/>
    <col min="4" max="4" width="4.42578125" customWidth="1"/>
  </cols>
  <sheetData>
    <row r="1" spans="1:8" x14ac:dyDescent="0.25">
      <c r="C1" s="78"/>
      <c r="D1" s="78"/>
      <c r="E1" s="78"/>
      <c r="F1" s="78"/>
      <c r="G1" s="78" t="s">
        <v>1203</v>
      </c>
      <c r="H1" s="78" t="s">
        <v>1204</v>
      </c>
    </row>
    <row r="3" spans="1:8" x14ac:dyDescent="0.25">
      <c r="A3" s="350" t="str">
        <f>"Tabela Referente à "&amp;G1</f>
        <v>Tabela Referente à Figura 2.41</v>
      </c>
      <c r="B3" s="350"/>
      <c r="C3" s="350"/>
    </row>
    <row r="4" spans="1:8" ht="30.75" customHeight="1" x14ac:dyDescent="0.25">
      <c r="A4" s="351" t="str">
        <f>H1</f>
        <v>Evolução do ASK por nacionalidade das empresas – mercado internacional, 2009 a 2018</v>
      </c>
      <c r="B4" s="351"/>
      <c r="C4" s="351"/>
    </row>
    <row r="5" spans="1:8" x14ac:dyDescent="0.25">
      <c r="A5" s="1" t="s">
        <v>20</v>
      </c>
      <c r="B5" s="21" t="s">
        <v>105</v>
      </c>
      <c r="C5" s="21" t="s">
        <v>106</v>
      </c>
    </row>
    <row r="6" spans="1:8" x14ac:dyDescent="0.25">
      <c r="A6" s="17">
        <v>2009</v>
      </c>
      <c r="B6" s="23">
        <v>28227373767</v>
      </c>
      <c r="C6" s="23">
        <v>73580901093</v>
      </c>
    </row>
    <row r="7" spans="1:8" x14ac:dyDescent="0.25">
      <c r="A7" s="18">
        <v>2010</v>
      </c>
      <c r="B7" s="24">
        <v>31043441710</v>
      </c>
      <c r="C7" s="24">
        <v>84402634780</v>
      </c>
    </row>
    <row r="8" spans="1:8" x14ac:dyDescent="0.25">
      <c r="A8" s="17">
        <v>2011</v>
      </c>
      <c r="B8" s="23">
        <v>33436123751</v>
      </c>
      <c r="C8" s="23">
        <v>98228207836</v>
      </c>
    </row>
    <row r="9" spans="1:8" x14ac:dyDescent="0.25">
      <c r="A9" s="18">
        <v>2012</v>
      </c>
      <c r="B9" s="24">
        <v>33446763456</v>
      </c>
      <c r="C9" s="24">
        <v>111045366295</v>
      </c>
    </row>
    <row r="10" spans="1:8" x14ac:dyDescent="0.25">
      <c r="A10" s="17">
        <v>2013</v>
      </c>
      <c r="B10" s="23">
        <v>35922186329</v>
      </c>
      <c r="C10" s="23">
        <v>115079964385</v>
      </c>
    </row>
    <row r="11" spans="1:8" x14ac:dyDescent="0.25">
      <c r="A11" s="18">
        <v>2014</v>
      </c>
      <c r="B11" s="24">
        <v>35343100911</v>
      </c>
      <c r="C11" s="24">
        <v>127802603090</v>
      </c>
    </row>
    <row r="12" spans="1:8" x14ac:dyDescent="0.25">
      <c r="A12" s="17">
        <v>2015</v>
      </c>
      <c r="B12" s="23">
        <v>40747575342</v>
      </c>
      <c r="C12" s="23">
        <v>126149600249</v>
      </c>
    </row>
    <row r="13" spans="1:8" x14ac:dyDescent="0.25">
      <c r="A13" s="18">
        <v>2016</v>
      </c>
      <c r="B13" s="24">
        <v>39476133118</v>
      </c>
      <c r="C13" s="24">
        <v>116328767434</v>
      </c>
    </row>
    <row r="14" spans="1:8" x14ac:dyDescent="0.25">
      <c r="A14" s="17">
        <v>2017</v>
      </c>
      <c r="B14" s="23">
        <v>43671978573</v>
      </c>
      <c r="C14" s="23">
        <v>109299622583</v>
      </c>
    </row>
    <row r="15" spans="1:8" x14ac:dyDescent="0.25">
      <c r="A15" s="18">
        <v>2018</v>
      </c>
      <c r="B15" s="24">
        <v>52324769483</v>
      </c>
      <c r="C15" s="24">
        <v>119654601843</v>
      </c>
    </row>
    <row r="16" spans="1:8" x14ac:dyDescent="0.25">
      <c r="A16" s="16"/>
      <c r="B16" s="9"/>
      <c r="C16" s="9"/>
    </row>
    <row r="17" spans="2:3" x14ac:dyDescent="0.25">
      <c r="B17" s="78" t="s">
        <v>383</v>
      </c>
      <c r="C17" s="78" t="s">
        <v>384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Plan53"/>
  <dimension ref="A1:H8"/>
  <sheetViews>
    <sheetView showGridLines="0" workbookViewId="0">
      <selection activeCell="E3" sqref="E3"/>
    </sheetView>
  </sheetViews>
  <sheetFormatPr defaultColWidth="18.5703125" defaultRowHeight="15" x14ac:dyDescent="0.25"/>
  <cols>
    <col min="1" max="1" width="20.85546875" bestFit="1" customWidth="1"/>
    <col min="2" max="2" width="43.5703125" customWidth="1"/>
    <col min="3" max="3" width="6.140625" customWidth="1"/>
  </cols>
  <sheetData>
    <row r="1" spans="1:8" x14ac:dyDescent="0.25">
      <c r="C1" s="78"/>
      <c r="D1" s="78"/>
      <c r="E1" s="78"/>
      <c r="F1" s="78"/>
      <c r="G1" s="78" t="s">
        <v>1205</v>
      </c>
      <c r="H1" s="78" t="s">
        <v>1206</v>
      </c>
    </row>
    <row r="3" spans="1:8" x14ac:dyDescent="0.25">
      <c r="A3" s="350" t="str">
        <f>"Tabela Referente à "&amp;G1</f>
        <v>Tabela Referente à Figura 2.42</v>
      </c>
      <c r="B3" s="350"/>
    </row>
    <row r="4" spans="1:8" ht="34.5" customHeight="1" x14ac:dyDescent="0.25">
      <c r="A4" s="351" t="str">
        <f>H1</f>
        <v>Variação do ASK por nacionalidade da empresa – mercado internacional, 2018/2009</v>
      </c>
      <c r="B4" s="351"/>
    </row>
    <row r="5" spans="1:8" x14ac:dyDescent="0.25">
      <c r="A5" s="1" t="s">
        <v>20</v>
      </c>
      <c r="B5" s="21" t="s">
        <v>107</v>
      </c>
    </row>
    <row r="6" spans="1:8" x14ac:dyDescent="0.25">
      <c r="A6" s="17" t="s">
        <v>105</v>
      </c>
      <c r="B6" s="76">
        <v>0.85368890194707858</v>
      </c>
      <c r="C6" s="78" t="s">
        <v>383</v>
      </c>
    </row>
    <row r="7" spans="1:8" x14ac:dyDescent="0.25">
      <c r="A7" s="18" t="s">
        <v>106</v>
      </c>
      <c r="B7" s="77">
        <v>0.62616385591373447</v>
      </c>
      <c r="C7" s="78" t="s">
        <v>384</v>
      </c>
    </row>
    <row r="8" spans="1:8" x14ac:dyDescent="0.25">
      <c r="A8" s="16"/>
      <c r="B8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Plan54"/>
  <dimension ref="A1:H8"/>
  <sheetViews>
    <sheetView showGridLines="0" workbookViewId="0">
      <selection activeCell="A5" sqref="A5:B7"/>
    </sheetView>
  </sheetViews>
  <sheetFormatPr defaultColWidth="18.5703125" defaultRowHeight="15" x14ac:dyDescent="0.25"/>
  <cols>
    <col min="1" max="1" width="20.85546875" bestFit="1" customWidth="1"/>
    <col min="2" max="2" width="42.7109375" customWidth="1"/>
    <col min="3" max="3" width="5.28515625" customWidth="1"/>
  </cols>
  <sheetData>
    <row r="1" spans="1:8" x14ac:dyDescent="0.25">
      <c r="C1" s="78"/>
      <c r="D1" s="78"/>
      <c r="E1" s="78"/>
      <c r="F1" s="78"/>
      <c r="G1" s="78" t="s">
        <v>1207</v>
      </c>
      <c r="H1" s="78" t="s">
        <v>1208</v>
      </c>
    </row>
    <row r="3" spans="1:8" x14ac:dyDescent="0.25">
      <c r="A3" s="350" t="str">
        <f>"Tabela Referente à "&amp;G1</f>
        <v>Tabela Referente à Figura 2.43</v>
      </c>
      <c r="B3" s="350"/>
    </row>
    <row r="4" spans="1:8" ht="30.75" customHeight="1" x14ac:dyDescent="0.25">
      <c r="A4" s="351" t="str">
        <f>H1</f>
        <v>Variação do ASK por nacionalidade da empresa – mercado internacional, 2018/2017</v>
      </c>
      <c r="B4" s="351"/>
    </row>
    <row r="5" spans="1:8" x14ac:dyDescent="0.25">
      <c r="A5" s="1" t="s">
        <v>20</v>
      </c>
      <c r="B5" s="21" t="s">
        <v>107</v>
      </c>
    </row>
    <row r="6" spans="1:8" x14ac:dyDescent="0.25">
      <c r="A6" s="17" t="s">
        <v>105</v>
      </c>
      <c r="B6" s="76">
        <v>0.19813141498813494</v>
      </c>
      <c r="C6" s="78" t="s">
        <v>383</v>
      </c>
    </row>
    <row r="7" spans="1:8" x14ac:dyDescent="0.25">
      <c r="A7" s="18" t="s">
        <v>106</v>
      </c>
      <c r="B7" s="77">
        <v>9.4739387156955929E-2</v>
      </c>
      <c r="C7" s="78" t="s">
        <v>384</v>
      </c>
    </row>
    <row r="8" spans="1:8" x14ac:dyDescent="0.25">
      <c r="A8" s="16"/>
      <c r="B8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Plan56"/>
  <dimension ref="A1:H17"/>
  <sheetViews>
    <sheetView showGridLines="0" workbookViewId="0">
      <selection activeCell="A5" sqref="A5:B17"/>
    </sheetView>
  </sheetViews>
  <sheetFormatPr defaultRowHeight="15" x14ac:dyDescent="0.25"/>
  <cols>
    <col min="1" max="1" width="20.42578125" bestFit="1" customWidth="1"/>
    <col min="2" max="2" width="36.42578125" customWidth="1"/>
  </cols>
  <sheetData>
    <row r="1" spans="1:8" x14ac:dyDescent="0.25">
      <c r="C1" s="78"/>
      <c r="D1" s="78"/>
      <c r="E1" s="78"/>
      <c r="F1" s="78"/>
      <c r="G1" s="78" t="s">
        <v>1209</v>
      </c>
      <c r="H1" s="78" t="s">
        <v>1210</v>
      </c>
    </row>
    <row r="3" spans="1:8" x14ac:dyDescent="0.25">
      <c r="A3" s="350" t="str">
        <f>"Tabela Referente à "&amp;G1</f>
        <v>Tabela Referente à Figura 2.44</v>
      </c>
      <c r="B3" s="350"/>
    </row>
    <row r="4" spans="1:8" ht="31.5" customHeight="1" x14ac:dyDescent="0.25">
      <c r="A4" s="351" t="str">
        <f>H1</f>
        <v>Participação de mercado das maiores empresas em termos de ASK – mercado internacional, 2018</v>
      </c>
      <c r="B4" s="351"/>
    </row>
    <row r="5" spans="1:8" x14ac:dyDescent="0.25">
      <c r="A5" s="9" t="s">
        <v>7</v>
      </c>
      <c r="B5" s="39" t="s">
        <v>488</v>
      </c>
    </row>
    <row r="6" spans="1:8" x14ac:dyDescent="0.25">
      <c r="A6" s="27" t="s">
        <v>526</v>
      </c>
      <c r="B6" s="7">
        <v>35359170065</v>
      </c>
      <c r="C6" s="78" t="s">
        <v>526</v>
      </c>
    </row>
    <row r="7" spans="1:8" x14ac:dyDescent="0.25">
      <c r="A7" s="28" t="s">
        <v>60</v>
      </c>
      <c r="B7" s="8">
        <v>7249749955</v>
      </c>
      <c r="C7" s="78" t="s">
        <v>372</v>
      </c>
    </row>
    <row r="8" spans="1:8" x14ac:dyDescent="0.25">
      <c r="A8" s="27" t="s">
        <v>59</v>
      </c>
      <c r="B8" s="7">
        <v>5630012329</v>
      </c>
      <c r="C8" s="78" t="s">
        <v>385</v>
      </c>
    </row>
    <row r="9" spans="1:8" x14ac:dyDescent="0.25">
      <c r="A9" s="28" t="s">
        <v>61</v>
      </c>
      <c r="B9" s="8">
        <v>4081393150</v>
      </c>
      <c r="C9" s="78" t="s">
        <v>387</v>
      </c>
    </row>
    <row r="10" spans="1:8" x14ac:dyDescent="0.25">
      <c r="A10" s="27" t="s">
        <v>108</v>
      </c>
      <c r="B10" s="7">
        <v>4443984</v>
      </c>
      <c r="C10" s="78"/>
    </row>
    <row r="11" spans="1:8" x14ac:dyDescent="0.25">
      <c r="A11" s="28" t="s">
        <v>387</v>
      </c>
      <c r="B11" s="8">
        <v>14940091486</v>
      </c>
    </row>
    <row r="12" spans="1:8" x14ac:dyDescent="0.25">
      <c r="A12" s="27" t="s">
        <v>109</v>
      </c>
      <c r="B12" s="7">
        <v>13432910036</v>
      </c>
    </row>
    <row r="13" spans="1:8" x14ac:dyDescent="0.25">
      <c r="A13" s="28" t="s">
        <v>345</v>
      </c>
      <c r="B13" s="8">
        <v>10352185223</v>
      </c>
    </row>
    <row r="14" spans="1:8" x14ac:dyDescent="0.25">
      <c r="A14" s="27" t="s">
        <v>456</v>
      </c>
      <c r="B14" s="7">
        <v>7045220049</v>
      </c>
    </row>
    <row r="15" spans="1:8" x14ac:dyDescent="0.25">
      <c r="A15" s="28" t="s">
        <v>420</v>
      </c>
      <c r="B15" s="8">
        <v>7031136262</v>
      </c>
    </row>
    <row r="16" spans="1:8" x14ac:dyDescent="0.25">
      <c r="A16" s="27" t="s">
        <v>110</v>
      </c>
      <c r="B16" s="7">
        <v>66853058787</v>
      </c>
    </row>
    <row r="17" spans="1:2" x14ac:dyDescent="0.25">
      <c r="A17" s="1" t="s">
        <v>10</v>
      </c>
      <c r="B17" s="39">
        <v>171979371326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Plan57"/>
  <dimension ref="A1:H16"/>
  <sheetViews>
    <sheetView showGridLines="0" workbookViewId="0">
      <selection activeCell="A5" sqref="A5:B16"/>
    </sheetView>
  </sheetViews>
  <sheetFormatPr defaultRowHeight="15" x14ac:dyDescent="0.25"/>
  <cols>
    <col min="1" max="1" width="20.42578125" bestFit="1" customWidth="1"/>
    <col min="2" max="2" width="39.42578125" customWidth="1"/>
  </cols>
  <sheetData>
    <row r="1" spans="1:8" x14ac:dyDescent="0.25">
      <c r="C1" s="78"/>
      <c r="D1" s="78"/>
      <c r="E1" s="78"/>
      <c r="F1" s="78"/>
      <c r="G1" s="78" t="s">
        <v>1211</v>
      </c>
      <c r="H1" s="78" t="s">
        <v>1212</v>
      </c>
    </row>
    <row r="3" spans="1:8" x14ac:dyDescent="0.25">
      <c r="A3" s="350" t="str">
        <f>"Tabela Referente à "&amp;G1</f>
        <v>Tabela Referente à Figura 2.45</v>
      </c>
      <c r="B3" s="350"/>
    </row>
    <row r="4" spans="1:8" ht="31.5" customHeight="1" x14ac:dyDescent="0.25">
      <c r="A4" s="351" t="str">
        <f>H1</f>
        <v>Variação do ASK das maiores empresas – mercado internacional, 2018/2017</v>
      </c>
      <c r="B4" s="351"/>
    </row>
    <row r="5" spans="1:8" x14ac:dyDescent="0.25">
      <c r="A5" s="1" t="s">
        <v>7</v>
      </c>
      <c r="B5" s="21" t="s">
        <v>488</v>
      </c>
    </row>
    <row r="6" spans="1:8" x14ac:dyDescent="0.25">
      <c r="A6" s="27" t="s">
        <v>526</v>
      </c>
      <c r="B6" s="10">
        <v>9.4161203741990773E-2</v>
      </c>
    </row>
    <row r="7" spans="1:8" x14ac:dyDescent="0.25">
      <c r="A7" s="28" t="s">
        <v>60</v>
      </c>
      <c r="B7" s="11">
        <v>0.48416264743282822</v>
      </c>
    </row>
    <row r="8" spans="1:8" x14ac:dyDescent="0.25">
      <c r="A8" s="27" t="s">
        <v>59</v>
      </c>
      <c r="B8" s="10">
        <v>7.6184328463414941E-2</v>
      </c>
    </row>
    <row r="9" spans="1:8" x14ac:dyDescent="0.25">
      <c r="A9" s="28" t="s">
        <v>61</v>
      </c>
      <c r="B9" s="11">
        <v>2.2926518843833827</v>
      </c>
    </row>
    <row r="10" spans="1:8" x14ac:dyDescent="0.25">
      <c r="A10" s="27" t="s">
        <v>387</v>
      </c>
      <c r="B10" s="10">
        <v>0.13092586612633705</v>
      </c>
    </row>
    <row r="11" spans="1:8" x14ac:dyDescent="0.25">
      <c r="A11" s="28" t="s">
        <v>109</v>
      </c>
      <c r="B11" s="11">
        <v>-9.5252313609103245E-3</v>
      </c>
    </row>
    <row r="12" spans="1:8" x14ac:dyDescent="0.25">
      <c r="A12" s="27" t="s">
        <v>345</v>
      </c>
      <c r="B12" s="10">
        <v>0.16085530889860622</v>
      </c>
    </row>
    <row r="13" spans="1:8" x14ac:dyDescent="0.25">
      <c r="A13" s="28" t="s">
        <v>456</v>
      </c>
      <c r="B13" s="11">
        <v>-2.1236680434320032E-3</v>
      </c>
    </row>
    <row r="14" spans="1:8" x14ac:dyDescent="0.25">
      <c r="A14" s="27" t="s">
        <v>420</v>
      </c>
      <c r="B14" s="10">
        <v>0.12911709246357383</v>
      </c>
    </row>
    <row r="15" spans="1:8" x14ac:dyDescent="0.25">
      <c r="A15" s="28" t="s">
        <v>110</v>
      </c>
      <c r="B15" s="11">
        <v>0.10827013650302231</v>
      </c>
    </row>
    <row r="16" spans="1:8" x14ac:dyDescent="0.25">
      <c r="A16" s="1" t="s">
        <v>10</v>
      </c>
      <c r="B16" s="170">
        <v>0.12425685569320755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Plan58"/>
  <dimension ref="A1:H28"/>
  <sheetViews>
    <sheetView showGridLines="0" workbookViewId="0">
      <selection activeCell="B6" sqref="B6"/>
    </sheetView>
  </sheetViews>
  <sheetFormatPr defaultRowHeight="15" x14ac:dyDescent="0.25"/>
  <cols>
    <col min="1" max="1" width="15.42578125" customWidth="1"/>
    <col min="2" max="2" width="19.5703125" customWidth="1"/>
    <col min="3" max="3" width="20.140625" customWidth="1"/>
    <col min="4" max="4" width="19.5703125" customWidth="1"/>
    <col min="5" max="6" width="11.5703125" bestFit="1" customWidth="1"/>
  </cols>
  <sheetData>
    <row r="1" spans="1:8" x14ac:dyDescent="0.25">
      <c r="C1" s="78"/>
      <c r="D1" s="78"/>
      <c r="E1" s="78"/>
      <c r="F1" s="78"/>
      <c r="G1" s="78" t="s">
        <v>873</v>
      </c>
      <c r="H1" s="78" t="s">
        <v>1213</v>
      </c>
    </row>
    <row r="3" spans="1:8" x14ac:dyDescent="0.25">
      <c r="A3" s="350" t="str">
        <f>"Tabela Referente à "&amp;G1</f>
        <v>Tabela Referente à Figura 3.1</v>
      </c>
      <c r="B3" s="350"/>
      <c r="C3" s="350"/>
      <c r="D3" s="350"/>
    </row>
    <row r="4" spans="1:8" ht="30" customHeight="1" x14ac:dyDescent="0.25">
      <c r="A4" s="351" t="str">
        <f>H1</f>
        <v>Evolução da quantidade de passageiros pagos transportados – mercados doméstico e internacional, 2009 a 2018</v>
      </c>
      <c r="B4" s="351"/>
      <c r="C4" s="351"/>
      <c r="D4" s="351"/>
    </row>
    <row r="5" spans="1:8" x14ac:dyDescent="0.25">
      <c r="A5" s="1" t="s">
        <v>20</v>
      </c>
      <c r="B5" s="21" t="s">
        <v>448</v>
      </c>
      <c r="C5" s="21" t="s">
        <v>43</v>
      </c>
      <c r="D5" s="21" t="s">
        <v>42</v>
      </c>
      <c r="E5" s="78"/>
    </row>
    <row r="6" spans="1:8" x14ac:dyDescent="0.25">
      <c r="A6" s="17">
        <v>2009</v>
      </c>
      <c r="B6" s="23">
        <v>57123672</v>
      </c>
      <c r="C6" s="23">
        <v>12601853</v>
      </c>
      <c r="D6" s="23">
        <v>69725525</v>
      </c>
      <c r="E6" s="167">
        <f>D6/1000000</f>
        <v>69.725525000000005</v>
      </c>
    </row>
    <row r="7" spans="1:8" x14ac:dyDescent="0.25">
      <c r="A7" s="18">
        <v>2010</v>
      </c>
      <c r="B7" s="26">
        <v>70148029</v>
      </c>
      <c r="C7" s="24">
        <v>15371053</v>
      </c>
      <c r="D7" s="24">
        <v>85519082</v>
      </c>
      <c r="E7" s="167">
        <f t="shared" ref="E7:E15" si="0">D7/1000000</f>
        <v>85.519081999999997</v>
      </c>
    </row>
    <row r="8" spans="1:8" x14ac:dyDescent="0.25">
      <c r="A8" s="17">
        <v>2011</v>
      </c>
      <c r="B8" s="25">
        <v>82072795</v>
      </c>
      <c r="C8" s="23">
        <v>17884288</v>
      </c>
      <c r="D8" s="23">
        <v>99957083</v>
      </c>
      <c r="E8" s="167">
        <f t="shared" si="0"/>
        <v>99.957082999999997</v>
      </c>
    </row>
    <row r="9" spans="1:8" x14ac:dyDescent="0.25">
      <c r="A9" s="18">
        <v>2012</v>
      </c>
      <c r="B9" s="26">
        <v>88688896</v>
      </c>
      <c r="C9" s="24">
        <v>18945951</v>
      </c>
      <c r="D9" s="24">
        <v>107634847</v>
      </c>
      <c r="E9" s="167">
        <f t="shared" si="0"/>
        <v>107.63484699999999</v>
      </c>
    </row>
    <row r="10" spans="1:8" x14ac:dyDescent="0.25">
      <c r="A10" s="17">
        <v>2013</v>
      </c>
      <c r="B10" s="25">
        <v>90239471</v>
      </c>
      <c r="C10" s="23">
        <v>19785492</v>
      </c>
      <c r="D10" s="23">
        <v>110024963</v>
      </c>
      <c r="E10" s="167">
        <f t="shared" si="0"/>
        <v>110.024963</v>
      </c>
    </row>
    <row r="11" spans="1:8" x14ac:dyDescent="0.25">
      <c r="A11" s="18">
        <v>2014</v>
      </c>
      <c r="B11" s="26">
        <v>95913262</v>
      </c>
      <c r="C11" s="24">
        <v>21302022</v>
      </c>
      <c r="D11" s="24">
        <v>117215284</v>
      </c>
      <c r="E11" s="167">
        <f t="shared" si="0"/>
        <v>117.215284</v>
      </c>
    </row>
    <row r="12" spans="1:8" x14ac:dyDescent="0.25">
      <c r="A12" s="17">
        <v>2015</v>
      </c>
      <c r="B12" s="25">
        <v>96180343</v>
      </c>
      <c r="C12" s="23">
        <v>21568211</v>
      </c>
      <c r="D12" s="23">
        <v>117748554</v>
      </c>
      <c r="E12" s="167">
        <f t="shared" si="0"/>
        <v>117.748554</v>
      </c>
    </row>
    <row r="13" spans="1:8" x14ac:dyDescent="0.25">
      <c r="A13" s="18">
        <v>2016</v>
      </c>
      <c r="B13" s="26">
        <v>88680274</v>
      </c>
      <c r="C13" s="24">
        <v>20914827</v>
      </c>
      <c r="D13" s="24">
        <v>109595101</v>
      </c>
      <c r="E13" s="167">
        <f t="shared" si="0"/>
        <v>109.595101</v>
      </c>
    </row>
    <row r="14" spans="1:8" x14ac:dyDescent="0.25">
      <c r="A14" s="17">
        <v>2017</v>
      </c>
      <c r="B14" s="25">
        <v>90626532</v>
      </c>
      <c r="C14" s="23">
        <v>21888592</v>
      </c>
      <c r="D14" s="23">
        <v>112515124</v>
      </c>
      <c r="E14" s="167">
        <f t="shared" si="0"/>
        <v>112.515124</v>
      </c>
    </row>
    <row r="15" spans="1:8" x14ac:dyDescent="0.25">
      <c r="A15" s="18">
        <v>2018</v>
      </c>
      <c r="B15" s="26">
        <v>93648950</v>
      </c>
      <c r="C15" s="24">
        <v>23987969</v>
      </c>
      <c r="D15" s="24">
        <v>117636919</v>
      </c>
      <c r="E15" s="167">
        <f t="shared" si="0"/>
        <v>117.63691900000001</v>
      </c>
      <c r="F15" s="145">
        <f>D15-D6</f>
        <v>47911394</v>
      </c>
    </row>
    <row r="16" spans="1:8" x14ac:dyDescent="0.25">
      <c r="A16" s="16"/>
      <c r="B16" s="9"/>
      <c r="C16" s="9"/>
      <c r="D16" s="9"/>
      <c r="E16" s="114" t="str">
        <f>IF((D15/D6-1)&gt;0,"+","")&amp;ROUND((D15/D6-1)*100,0)&amp;"%"</f>
        <v>+69%</v>
      </c>
    </row>
    <row r="17" spans="2:5" x14ac:dyDescent="0.25">
      <c r="B17" s="66"/>
      <c r="E17" s="66"/>
    </row>
    <row r="19" spans="2:5" x14ac:dyDescent="0.25">
      <c r="E19" s="146"/>
    </row>
    <row r="20" spans="2:5" x14ac:dyDescent="0.25">
      <c r="E20" s="146"/>
    </row>
    <row r="21" spans="2:5" x14ac:dyDescent="0.25">
      <c r="E21" s="146"/>
    </row>
    <row r="22" spans="2:5" x14ac:dyDescent="0.25">
      <c r="E22" s="146"/>
    </row>
    <row r="23" spans="2:5" x14ac:dyDescent="0.25">
      <c r="E23" s="146"/>
    </row>
    <row r="24" spans="2:5" x14ac:dyDescent="0.25">
      <c r="E24" s="146"/>
    </row>
    <row r="25" spans="2:5" x14ac:dyDescent="0.25">
      <c r="E25" s="146"/>
    </row>
    <row r="26" spans="2:5" x14ac:dyDescent="0.25">
      <c r="E26" s="146"/>
    </row>
    <row r="27" spans="2:5" x14ac:dyDescent="0.25">
      <c r="E27" s="146"/>
    </row>
    <row r="28" spans="2:5" x14ac:dyDescent="0.25">
      <c r="E28" s="146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Plan59"/>
  <dimension ref="A1:H16"/>
  <sheetViews>
    <sheetView showGridLines="0" workbookViewId="0">
      <selection activeCell="G2" sqref="G2"/>
    </sheetView>
  </sheetViews>
  <sheetFormatPr defaultRowHeight="15" x14ac:dyDescent="0.25"/>
  <cols>
    <col min="1" max="1" width="9.28515625" customWidth="1"/>
    <col min="2" max="2" width="45.42578125" customWidth="1"/>
  </cols>
  <sheetData>
    <row r="1" spans="1:8" x14ac:dyDescent="0.25">
      <c r="C1" s="78"/>
      <c r="D1" s="78"/>
      <c r="E1" s="78"/>
      <c r="F1" s="78"/>
      <c r="G1" s="78" t="s">
        <v>875</v>
      </c>
      <c r="H1" s="78" t="s">
        <v>1214</v>
      </c>
    </row>
    <row r="3" spans="1:8" x14ac:dyDescent="0.25">
      <c r="A3" s="350" t="str">
        <f>"Tabela Referente à "&amp;G1</f>
        <v>Tabela Referente à Figura 3.2</v>
      </c>
      <c r="B3" s="350"/>
    </row>
    <row r="4" spans="1:8" ht="33" customHeight="1" x14ac:dyDescent="0.25">
      <c r="A4" s="351" t="str">
        <f>H1</f>
        <v>Variação da quantidade de passageiros pagos transportados – mercados doméstico e internacional, 2009 a 2018</v>
      </c>
      <c r="B4" s="351"/>
    </row>
    <row r="5" spans="1:8" x14ac:dyDescent="0.25">
      <c r="A5" s="1" t="s">
        <v>20</v>
      </c>
      <c r="B5" s="21" t="s">
        <v>130</v>
      </c>
    </row>
    <row r="6" spans="1:8" x14ac:dyDescent="0.25">
      <c r="A6" s="17">
        <v>2009</v>
      </c>
      <c r="B6" s="10">
        <v>9.7662461755075147E-2</v>
      </c>
    </row>
    <row r="7" spans="1:8" x14ac:dyDescent="0.25">
      <c r="A7" s="18">
        <v>2010</v>
      </c>
      <c r="B7" s="11">
        <v>0.22651040633971561</v>
      </c>
    </row>
    <row r="8" spans="1:8" x14ac:dyDescent="0.25">
      <c r="A8" s="17">
        <v>2011</v>
      </c>
      <c r="B8" s="10">
        <v>0.16882782955972328</v>
      </c>
    </row>
    <row r="9" spans="1:8" x14ac:dyDescent="0.25">
      <c r="A9" s="18">
        <v>2012</v>
      </c>
      <c r="B9" s="11">
        <v>7.6810604807265134E-2</v>
      </c>
    </row>
    <row r="10" spans="1:8" x14ac:dyDescent="0.25">
      <c r="A10" s="17">
        <v>2013</v>
      </c>
      <c r="B10" s="10">
        <v>2.2205782482321919E-2</v>
      </c>
    </row>
    <row r="11" spans="1:8" x14ac:dyDescent="0.25">
      <c r="A11" s="18">
        <v>2014</v>
      </c>
      <c r="B11" s="11">
        <v>6.5351723862883737E-2</v>
      </c>
    </row>
    <row r="12" spans="1:8" x14ac:dyDescent="0.25">
      <c r="A12" s="17">
        <v>2015</v>
      </c>
      <c r="B12" s="10">
        <v>4.5494920269953873E-3</v>
      </c>
    </row>
    <row r="13" spans="1:8" x14ac:dyDescent="0.25">
      <c r="A13" s="18">
        <v>2016</v>
      </c>
      <c r="B13" s="11">
        <v>-6.9244612549551984E-2</v>
      </c>
    </row>
    <row r="14" spans="1:8" x14ac:dyDescent="0.25">
      <c r="A14" s="17">
        <v>2017</v>
      </c>
      <c r="B14" s="10">
        <v>2.6643736566290495E-2</v>
      </c>
    </row>
    <row r="15" spans="1:8" x14ac:dyDescent="0.25">
      <c r="A15" s="18">
        <v>2018</v>
      </c>
      <c r="B15" s="11">
        <v>4.5520947032862892E-2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9"/>
  <dimension ref="A1:H22"/>
  <sheetViews>
    <sheetView showGridLines="0" workbookViewId="0">
      <selection activeCell="A5" sqref="A5:D22"/>
    </sheetView>
  </sheetViews>
  <sheetFormatPr defaultRowHeight="15" x14ac:dyDescent="0.25"/>
  <cols>
    <col min="1" max="1" width="43.7109375" customWidth="1"/>
    <col min="2" max="4" width="8.42578125" customWidth="1"/>
  </cols>
  <sheetData>
    <row r="1" spans="1:8" x14ac:dyDescent="0.25">
      <c r="C1" s="78"/>
      <c r="D1" s="78"/>
      <c r="E1" s="78"/>
      <c r="F1" s="78"/>
      <c r="G1" s="78" t="s">
        <v>1127</v>
      </c>
      <c r="H1" s="78" t="s">
        <v>1128</v>
      </c>
    </row>
    <row r="3" spans="1:8" x14ac:dyDescent="0.25">
      <c r="A3" s="350" t="str">
        <f>"Tabela Referente à "&amp;G1</f>
        <v>Tabela Referente à Figura 1.5</v>
      </c>
      <c r="B3" s="350"/>
      <c r="C3" s="350"/>
    </row>
    <row r="4" spans="1:8" ht="30.75" customHeight="1" x14ac:dyDescent="0.25">
      <c r="A4" s="351" t="str">
        <f>H1</f>
        <v>Número de pilotos e co-pilotos por mil decolagens – empresas aéreas brasileiras, 2016 a 2018</v>
      </c>
      <c r="B4" s="351"/>
      <c r="C4" s="351"/>
      <c r="D4" s="351"/>
    </row>
    <row r="5" spans="1:8" x14ac:dyDescent="0.25">
      <c r="A5" s="1" t="s">
        <v>7</v>
      </c>
      <c r="B5" s="1">
        <v>2016</v>
      </c>
      <c r="C5" s="1">
        <v>2017</v>
      </c>
      <c r="D5" s="1">
        <v>2018</v>
      </c>
    </row>
    <row r="6" spans="1:8" x14ac:dyDescent="0.25">
      <c r="A6" s="14" t="s">
        <v>415</v>
      </c>
      <c r="B6" s="4">
        <v>100</v>
      </c>
      <c r="C6" s="4">
        <v>38.461538461538467</v>
      </c>
      <c r="D6" s="4" t="s">
        <v>868</v>
      </c>
    </row>
    <row r="7" spans="1:8" x14ac:dyDescent="0.25">
      <c r="A7" s="15" t="s">
        <v>60</v>
      </c>
      <c r="B7" s="5">
        <v>5.595690968950314</v>
      </c>
      <c r="C7" s="5">
        <v>6.3934471075123005</v>
      </c>
      <c r="D7" s="5">
        <v>6.6648110348240248</v>
      </c>
    </row>
    <row r="8" spans="1:8" x14ac:dyDescent="0.25">
      <c r="A8" s="14" t="s">
        <v>453</v>
      </c>
      <c r="B8" s="4">
        <v>12.068965517241379</v>
      </c>
      <c r="C8" s="4" t="s">
        <v>868</v>
      </c>
      <c r="D8" s="4" t="s">
        <v>868</v>
      </c>
    </row>
    <row r="9" spans="1:8" x14ac:dyDescent="0.25">
      <c r="A9" s="15" t="s">
        <v>59</v>
      </c>
      <c r="B9" s="5">
        <v>6.0958109954195319</v>
      </c>
      <c r="C9" s="5">
        <v>5.5685288306089458</v>
      </c>
      <c r="D9" s="5">
        <v>5.700296415413602</v>
      </c>
    </row>
    <row r="10" spans="1:8" x14ac:dyDescent="0.25">
      <c r="A10" s="14" t="s">
        <v>102</v>
      </c>
      <c r="B10" s="4">
        <v>17.733045770428948</v>
      </c>
      <c r="C10" s="4">
        <v>18.155757286192067</v>
      </c>
      <c r="D10" s="4">
        <v>17.539810754673439</v>
      </c>
    </row>
    <row r="11" spans="1:8" x14ac:dyDescent="0.25">
      <c r="A11" s="15" t="s">
        <v>61</v>
      </c>
      <c r="B11" s="5">
        <v>6.0438044435101368</v>
      </c>
      <c r="C11" s="5">
        <v>7.0882876672985242</v>
      </c>
      <c r="D11" s="5">
        <v>0</v>
      </c>
    </row>
    <row r="12" spans="1:8" x14ac:dyDescent="0.25">
      <c r="A12" s="14" t="s">
        <v>394</v>
      </c>
      <c r="B12" s="4">
        <v>4.1152263374485596</v>
      </c>
      <c r="C12" s="4">
        <v>5.143277002204262</v>
      </c>
      <c r="D12" s="4">
        <v>4.4340723453908986</v>
      </c>
    </row>
    <row r="13" spans="1:8" x14ac:dyDescent="0.25">
      <c r="A13" s="15" t="s">
        <v>62</v>
      </c>
      <c r="B13" s="5">
        <v>5.5357142857142856</v>
      </c>
      <c r="C13" s="5">
        <v>5.7762583991512439</v>
      </c>
      <c r="D13" s="5">
        <v>5.6731398647174336</v>
      </c>
    </row>
    <row r="14" spans="1:8" x14ac:dyDescent="0.25">
      <c r="A14" s="14" t="s">
        <v>447</v>
      </c>
      <c r="B14" s="4">
        <v>11.660188784008884</v>
      </c>
      <c r="C14" s="4">
        <v>0</v>
      </c>
      <c r="D14" s="4" t="s">
        <v>868</v>
      </c>
    </row>
    <row r="15" spans="1:8" x14ac:dyDescent="0.25">
      <c r="A15" s="15" t="s">
        <v>414</v>
      </c>
      <c r="B15" s="5">
        <v>9.4054417198522007</v>
      </c>
      <c r="C15" s="5">
        <v>8.1067597904714397</v>
      </c>
      <c r="D15" s="5">
        <v>7.6070139247034554</v>
      </c>
    </row>
    <row r="16" spans="1:8" x14ac:dyDescent="0.25">
      <c r="A16" s="14" t="s">
        <v>103</v>
      </c>
      <c r="B16" s="4">
        <v>0</v>
      </c>
      <c r="C16" s="4" t="s">
        <v>868</v>
      </c>
      <c r="D16" s="4" t="s">
        <v>868</v>
      </c>
    </row>
    <row r="17" spans="1:4" x14ac:dyDescent="0.25">
      <c r="A17" s="15" t="s">
        <v>523</v>
      </c>
      <c r="B17" s="5">
        <v>25</v>
      </c>
      <c r="C17" s="5" t="s">
        <v>868</v>
      </c>
      <c r="D17" s="5" t="s">
        <v>868</v>
      </c>
    </row>
    <row r="18" spans="1:4" x14ac:dyDescent="0.25">
      <c r="A18" s="14" t="s">
        <v>526</v>
      </c>
      <c r="B18" s="4">
        <v>7.8389316583042881</v>
      </c>
      <c r="C18" s="4">
        <v>8.463435039152241</v>
      </c>
      <c r="D18" s="4">
        <v>8.7218487722320575</v>
      </c>
    </row>
    <row r="19" spans="1:4" x14ac:dyDescent="0.25">
      <c r="A19" s="15" t="s">
        <v>399</v>
      </c>
      <c r="B19" s="5">
        <v>4.2928690674934415</v>
      </c>
      <c r="C19" s="5">
        <v>4.2350449973530973</v>
      </c>
      <c r="D19" s="5">
        <v>4.6363372935381051</v>
      </c>
    </row>
    <row r="20" spans="1:4" x14ac:dyDescent="0.25">
      <c r="A20" s="16" t="s">
        <v>721</v>
      </c>
      <c r="B20" s="6" t="s">
        <v>868</v>
      </c>
      <c r="C20" s="6">
        <v>184.61538461538461</v>
      </c>
      <c r="D20" s="6">
        <v>43.79562043795621</v>
      </c>
    </row>
    <row r="21" spans="1:4" x14ac:dyDescent="0.25">
      <c r="A21" t="s">
        <v>818</v>
      </c>
      <c r="B21" t="s">
        <v>868</v>
      </c>
      <c r="C21" t="s">
        <v>868</v>
      </c>
      <c r="D21" s="114">
        <v>21.515735388567759</v>
      </c>
    </row>
    <row r="22" spans="1:4" x14ac:dyDescent="0.25">
      <c r="A22" t="s">
        <v>10</v>
      </c>
      <c r="B22">
        <v>6.4678052223650138</v>
      </c>
      <c r="C22">
        <v>6.8294687490514621</v>
      </c>
      <c r="D22">
        <v>7.0830608914128028</v>
      </c>
    </row>
  </sheetData>
  <sortState xmlns:xlrd2="http://schemas.microsoft.com/office/spreadsheetml/2017/richdata2" ref="A6:D16">
    <sortCondition descending="1" ref="D6:D16"/>
  </sortState>
  <mergeCells count="2">
    <mergeCell ref="A3:C3"/>
    <mergeCell ref="A4:D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Plan60"/>
  <dimension ref="A1:H17"/>
  <sheetViews>
    <sheetView showGridLines="0" workbookViewId="0">
      <selection activeCell="A5" sqref="A5:D15"/>
    </sheetView>
  </sheetViews>
  <sheetFormatPr defaultRowHeight="15" x14ac:dyDescent="0.25"/>
  <cols>
    <col min="1" max="1" width="15.42578125" customWidth="1"/>
    <col min="2" max="3" width="18.5703125" customWidth="1"/>
    <col min="4" max="4" width="18.42578125" customWidth="1"/>
    <col min="5" max="5" width="10.5703125" bestFit="1" customWidth="1"/>
  </cols>
  <sheetData>
    <row r="1" spans="1:8" x14ac:dyDescent="0.25">
      <c r="C1" s="78"/>
      <c r="D1" s="78"/>
      <c r="E1" s="78"/>
      <c r="F1" s="78"/>
      <c r="G1" s="78" t="s">
        <v>876</v>
      </c>
      <c r="H1" s="78" t="s">
        <v>1215</v>
      </c>
    </row>
    <row r="3" spans="1:8" x14ac:dyDescent="0.25">
      <c r="A3" s="350" t="str">
        <f>"Tabela Referente à "&amp;G1</f>
        <v>Tabela Referente à Figura 3.3</v>
      </c>
      <c r="B3" s="350"/>
      <c r="C3" s="350"/>
      <c r="D3" s="350"/>
    </row>
    <row r="4" spans="1:8" ht="16.5" customHeight="1" x14ac:dyDescent="0.25">
      <c r="A4" s="351" t="str">
        <f>H1</f>
        <v>Evolução do RPK – mercados doméstico e internacional, 2009 a 2018</v>
      </c>
      <c r="B4" s="351"/>
      <c r="C4" s="351"/>
      <c r="D4" s="351"/>
      <c r="E4" s="78"/>
    </row>
    <row r="5" spans="1:8" x14ac:dyDescent="0.25">
      <c r="A5" s="1" t="s">
        <v>20</v>
      </c>
      <c r="B5" s="21" t="s">
        <v>448</v>
      </c>
      <c r="C5" s="21" t="s">
        <v>43</v>
      </c>
      <c r="D5" s="21" t="s">
        <v>42</v>
      </c>
      <c r="E5" s="78"/>
    </row>
    <row r="6" spans="1:8" x14ac:dyDescent="0.25">
      <c r="A6" s="17">
        <v>2009</v>
      </c>
      <c r="B6" s="23">
        <v>56862869334</v>
      </c>
      <c r="C6" s="23">
        <v>76019794226</v>
      </c>
      <c r="D6" s="23">
        <v>132882663560</v>
      </c>
      <c r="E6" s="167">
        <f>D6/1000000000</f>
        <v>132.88266356</v>
      </c>
    </row>
    <row r="7" spans="1:8" x14ac:dyDescent="0.25">
      <c r="A7" s="18">
        <v>2010</v>
      </c>
      <c r="B7" s="26">
        <v>70279463281</v>
      </c>
      <c r="C7" s="24">
        <v>92093443332</v>
      </c>
      <c r="D7" s="24">
        <v>162372906613</v>
      </c>
      <c r="E7" s="167">
        <f t="shared" ref="E7:E15" si="0">D7/1000000000</f>
        <v>162.372906613</v>
      </c>
    </row>
    <row r="8" spans="1:8" x14ac:dyDescent="0.25">
      <c r="A8" s="17">
        <v>2011</v>
      </c>
      <c r="B8" s="25">
        <v>81461989545</v>
      </c>
      <c r="C8" s="23">
        <v>105458573201</v>
      </c>
      <c r="D8" s="23">
        <v>186920562746</v>
      </c>
      <c r="E8" s="167">
        <f t="shared" si="0"/>
        <v>186.920562746</v>
      </c>
    </row>
    <row r="9" spans="1:8" x14ac:dyDescent="0.25">
      <c r="A9" s="18">
        <v>2012</v>
      </c>
      <c r="B9" s="26">
        <v>87047335828</v>
      </c>
      <c r="C9" s="24">
        <v>115039217850</v>
      </c>
      <c r="D9" s="24">
        <v>202086553678</v>
      </c>
      <c r="E9" s="167">
        <f t="shared" si="0"/>
        <v>202.086553678</v>
      </c>
    </row>
    <row r="10" spans="1:8" x14ac:dyDescent="0.25">
      <c r="A10" s="17">
        <v>2013</v>
      </c>
      <c r="B10" s="25">
        <v>88243309570</v>
      </c>
      <c r="C10" s="23">
        <v>120157838541</v>
      </c>
      <c r="D10" s="23">
        <v>208401148111</v>
      </c>
      <c r="E10" s="167">
        <f t="shared" si="0"/>
        <v>208.401148111</v>
      </c>
    </row>
    <row r="11" spans="1:8" x14ac:dyDescent="0.25">
      <c r="A11" s="18">
        <v>2014</v>
      </c>
      <c r="B11" s="26">
        <v>93338045415</v>
      </c>
      <c r="C11" s="24">
        <v>130228192384</v>
      </c>
      <c r="D11" s="24">
        <v>223566237799</v>
      </c>
      <c r="E11" s="167">
        <f t="shared" si="0"/>
        <v>223.56623779899999</v>
      </c>
    </row>
    <row r="12" spans="1:8" x14ac:dyDescent="0.25">
      <c r="A12" s="17">
        <v>2015</v>
      </c>
      <c r="B12" s="25">
        <v>94373862773</v>
      </c>
      <c r="C12" s="23">
        <v>131300589271</v>
      </c>
      <c r="D12" s="23">
        <v>225674452044</v>
      </c>
      <c r="E12" s="167">
        <f t="shared" si="0"/>
        <v>225.67445204399999</v>
      </c>
    </row>
    <row r="13" spans="1:8" x14ac:dyDescent="0.25">
      <c r="A13" s="18">
        <v>2016</v>
      </c>
      <c r="B13" s="26">
        <v>89026864137</v>
      </c>
      <c r="C13" s="24">
        <v>126534846080</v>
      </c>
      <c r="D13" s="24">
        <v>215561710217</v>
      </c>
      <c r="E13" s="167">
        <f t="shared" si="0"/>
        <v>215.56171021700001</v>
      </c>
    </row>
    <row r="14" spans="1:8" x14ac:dyDescent="0.25">
      <c r="A14" s="17">
        <v>2017</v>
      </c>
      <c r="B14" s="25">
        <v>91914321291</v>
      </c>
      <c r="C14" s="23">
        <v>129067597919</v>
      </c>
      <c r="D14" s="23">
        <v>220981919210</v>
      </c>
      <c r="E14" s="167">
        <f t="shared" si="0"/>
        <v>220.98191921</v>
      </c>
    </row>
    <row r="15" spans="1:8" x14ac:dyDescent="0.25">
      <c r="A15" s="18">
        <v>2018</v>
      </c>
      <c r="B15" s="26">
        <v>95941602246</v>
      </c>
      <c r="C15" s="24">
        <v>141248284432</v>
      </c>
      <c r="D15" s="24">
        <v>237189886678</v>
      </c>
      <c r="E15" s="167">
        <f t="shared" si="0"/>
        <v>237.18988667799999</v>
      </c>
    </row>
    <row r="16" spans="1:8" x14ac:dyDescent="0.25">
      <c r="A16" s="16"/>
      <c r="B16" s="9"/>
      <c r="C16" s="9"/>
      <c r="D16" s="9"/>
      <c r="E16" s="114" t="str">
        <f>IF((E15/E6-1)&gt;0,"+","")&amp;ROUND((E15/E6-1)*100,0)&amp;"%"</f>
        <v>+78%</v>
      </c>
    </row>
    <row r="17" spans="5:6" x14ac:dyDescent="0.25">
      <c r="E17" s="167">
        <f>D15/D6-1</f>
        <v>0.78495734750908697</v>
      </c>
      <c r="F17" s="114">
        <f>(E17+1)^(1/9)-1</f>
        <v>6.6494571484947862E-2</v>
      </c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Plan61"/>
  <dimension ref="A1:H16"/>
  <sheetViews>
    <sheetView showGridLines="0" workbookViewId="0">
      <selection activeCell="A5" sqref="A5:D15"/>
    </sheetView>
  </sheetViews>
  <sheetFormatPr defaultRowHeight="15" x14ac:dyDescent="0.25"/>
  <cols>
    <col min="1" max="1" width="9.28515625" customWidth="1"/>
    <col min="2" max="2" width="51.28515625" customWidth="1"/>
  </cols>
  <sheetData>
    <row r="1" spans="1:8" x14ac:dyDescent="0.25">
      <c r="C1" s="78"/>
      <c r="D1" s="78"/>
      <c r="E1" s="78"/>
      <c r="F1" s="78"/>
      <c r="G1" s="78" t="s">
        <v>1216</v>
      </c>
      <c r="H1" s="78" t="s">
        <v>1217</v>
      </c>
    </row>
    <row r="3" spans="1:8" x14ac:dyDescent="0.25">
      <c r="A3" s="350" t="str">
        <f>"Tabela Referente à "&amp;G1</f>
        <v>Tabela Referente à Figura 3.4</v>
      </c>
      <c r="B3" s="350"/>
    </row>
    <row r="4" spans="1:8" ht="24.75" customHeight="1" x14ac:dyDescent="0.25">
      <c r="A4" s="352" t="str">
        <f>H1</f>
        <v>Variação do RPK – mercados doméstico e internacional, 2009 a 2018</v>
      </c>
      <c r="B4" s="352"/>
    </row>
    <row r="5" spans="1:8" x14ac:dyDescent="0.25">
      <c r="A5" s="1" t="s">
        <v>20</v>
      </c>
      <c r="B5" s="21" t="s">
        <v>128</v>
      </c>
    </row>
    <row r="6" spans="1:8" x14ac:dyDescent="0.25">
      <c r="A6" s="17">
        <v>2009</v>
      </c>
      <c r="B6" s="10">
        <v>3.4954532574839145E-2</v>
      </c>
    </row>
    <row r="7" spans="1:8" x14ac:dyDescent="0.25">
      <c r="A7" s="18">
        <v>2010</v>
      </c>
      <c r="B7" s="11">
        <v>0.22192694112941516</v>
      </c>
    </row>
    <row r="8" spans="1:8" x14ac:dyDescent="0.25">
      <c r="A8" s="17">
        <v>2011</v>
      </c>
      <c r="B8" s="10">
        <v>0.15118073972468168</v>
      </c>
    </row>
    <row r="9" spans="1:8" x14ac:dyDescent="0.25">
      <c r="A9" s="18">
        <v>2012</v>
      </c>
      <c r="B9" s="11">
        <v>8.1136022218211215E-2</v>
      </c>
    </row>
    <row r="10" spans="1:8" x14ac:dyDescent="0.25">
      <c r="A10" s="17">
        <v>2013</v>
      </c>
      <c r="B10" s="10">
        <v>3.12469796632859E-2</v>
      </c>
    </row>
    <row r="11" spans="1:8" x14ac:dyDescent="0.25">
      <c r="A11" s="18">
        <v>2014</v>
      </c>
      <c r="B11" s="11">
        <v>7.2768743480830872E-2</v>
      </c>
    </row>
    <row r="12" spans="1:8" x14ac:dyDescent="0.25">
      <c r="A12" s="17">
        <v>2015</v>
      </c>
      <c r="B12" s="10">
        <v>9.4299312175008115E-3</v>
      </c>
    </row>
    <row r="13" spans="1:8" x14ac:dyDescent="0.25">
      <c r="A13" s="18">
        <v>2016</v>
      </c>
      <c r="B13" s="11">
        <v>-4.4811194778167925E-2</v>
      </c>
    </row>
    <row r="14" spans="1:8" x14ac:dyDescent="0.25">
      <c r="A14" s="17">
        <v>2017</v>
      </c>
      <c r="B14" s="10">
        <v>2.5144581510063293E-2</v>
      </c>
    </row>
    <row r="15" spans="1:8" x14ac:dyDescent="0.25">
      <c r="A15" s="18">
        <v>2018</v>
      </c>
      <c r="B15" s="11">
        <v>7.334521994352626E-2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Plan62"/>
  <dimension ref="A1:H19"/>
  <sheetViews>
    <sheetView showGridLines="0" workbookViewId="0">
      <selection activeCell="R6" sqref="R6"/>
    </sheetView>
  </sheetViews>
  <sheetFormatPr defaultRowHeight="15" x14ac:dyDescent="0.25"/>
  <cols>
    <col min="1" max="1" width="15.42578125" customWidth="1"/>
    <col min="2" max="3" width="18.5703125" customWidth="1"/>
    <col min="4" max="4" width="18.42578125" customWidth="1"/>
  </cols>
  <sheetData>
    <row r="1" spans="1:8" x14ac:dyDescent="0.25">
      <c r="C1" s="78" t="s">
        <v>0</v>
      </c>
      <c r="D1" s="78"/>
      <c r="E1" s="78"/>
      <c r="F1" s="78" t="s">
        <v>0</v>
      </c>
      <c r="G1" s="78" t="s">
        <v>1218</v>
      </c>
      <c r="H1" s="78" t="s">
        <v>1219</v>
      </c>
    </row>
    <row r="3" spans="1:8" x14ac:dyDescent="0.25">
      <c r="A3" s="350" t="str">
        <f>"Tabela Referente à "&amp;G1</f>
        <v>Tabela Referente à Figura 3.5</v>
      </c>
      <c r="B3" s="350"/>
      <c r="C3" s="350"/>
      <c r="D3" s="350"/>
    </row>
    <row r="4" spans="1:8" ht="32.25" customHeight="1" x14ac:dyDescent="0.25">
      <c r="A4" s="351" t="str">
        <f>H1&amp;" (milhares de toneladas)"</f>
        <v>Evolução da quantidade de carga paga e correio transportados – mercados doméstico e internacional, 2009 a 2018 (milhares de toneladas)</v>
      </c>
      <c r="B4" s="351"/>
      <c r="C4" s="351"/>
      <c r="D4" s="351"/>
    </row>
    <row r="5" spans="1:8" x14ac:dyDescent="0.25">
      <c r="A5" s="1" t="s">
        <v>20</v>
      </c>
      <c r="B5" s="21" t="s">
        <v>448</v>
      </c>
      <c r="C5" s="21" t="s">
        <v>43</v>
      </c>
      <c r="D5" s="21" t="s">
        <v>42</v>
      </c>
    </row>
    <row r="6" spans="1:8" x14ac:dyDescent="0.25">
      <c r="A6" s="17">
        <v>2009</v>
      </c>
      <c r="B6" s="23">
        <v>394.12151399999999</v>
      </c>
      <c r="C6" s="23">
        <v>481.44048099999998</v>
      </c>
      <c r="D6" s="23">
        <v>875.56199500000002</v>
      </c>
    </row>
    <row r="7" spans="1:8" x14ac:dyDescent="0.25">
      <c r="A7" s="18">
        <v>2010</v>
      </c>
      <c r="B7" s="26">
        <v>480.540211</v>
      </c>
      <c r="C7" s="24">
        <v>656.68753700000002</v>
      </c>
      <c r="D7" s="24">
        <v>1137.227748</v>
      </c>
    </row>
    <row r="8" spans="1:8" x14ac:dyDescent="0.25">
      <c r="A8" s="17">
        <v>2011</v>
      </c>
      <c r="B8" s="25">
        <v>524.88046299999996</v>
      </c>
      <c r="C8" s="23">
        <v>738.63283999999999</v>
      </c>
      <c r="D8" s="23">
        <v>1263.513303</v>
      </c>
    </row>
    <row r="9" spans="1:8" x14ac:dyDescent="0.25">
      <c r="A9" s="18">
        <v>2012</v>
      </c>
      <c r="B9" s="26">
        <v>511.67656199999999</v>
      </c>
      <c r="C9" s="24">
        <v>763.49218399999995</v>
      </c>
      <c r="D9" s="24">
        <v>1275.1687459999998</v>
      </c>
    </row>
    <row r="10" spans="1:8" x14ac:dyDescent="0.25">
      <c r="A10" s="17">
        <v>2013</v>
      </c>
      <c r="B10" s="25">
        <v>521.84858099999997</v>
      </c>
      <c r="C10" s="23">
        <v>815.21484599999997</v>
      </c>
      <c r="D10" s="23">
        <v>1337.063427</v>
      </c>
      <c r="E10" s="78"/>
    </row>
    <row r="11" spans="1:8" x14ac:dyDescent="0.25">
      <c r="A11" s="18">
        <v>2014</v>
      </c>
      <c r="B11" s="26">
        <v>514.86143400000003</v>
      </c>
      <c r="C11" s="24">
        <v>806.55863399999998</v>
      </c>
      <c r="D11" s="24">
        <v>1321.4200679999999</v>
      </c>
      <c r="E11" s="78"/>
    </row>
    <row r="12" spans="1:8" x14ac:dyDescent="0.25">
      <c r="A12" s="17">
        <v>2015</v>
      </c>
      <c r="B12" s="25">
        <v>455.77887700000002</v>
      </c>
      <c r="C12" s="23">
        <v>763.32006699999999</v>
      </c>
      <c r="D12" s="23">
        <v>1219.0989440000001</v>
      </c>
      <c r="E12" s="78"/>
    </row>
    <row r="13" spans="1:8" x14ac:dyDescent="0.25">
      <c r="A13" s="18">
        <v>2016</v>
      </c>
      <c r="B13" s="26">
        <v>418.56154199999997</v>
      </c>
      <c r="C13" s="24">
        <v>727.90648399999998</v>
      </c>
      <c r="D13" s="24">
        <v>1146.468026</v>
      </c>
      <c r="E13" s="78"/>
    </row>
    <row r="14" spans="1:8" x14ac:dyDescent="0.25">
      <c r="A14" s="17">
        <v>2017</v>
      </c>
      <c r="B14" s="25">
        <v>426.27095100000003</v>
      </c>
      <c r="C14" s="23">
        <v>817.75484900000004</v>
      </c>
      <c r="D14" s="23">
        <v>1244.0258000000001</v>
      </c>
      <c r="E14" s="78"/>
    </row>
    <row r="15" spans="1:8" x14ac:dyDescent="0.25">
      <c r="A15" s="18">
        <v>2018</v>
      </c>
      <c r="B15" s="26">
        <v>470.93427200000002</v>
      </c>
      <c r="C15" s="24">
        <v>932.83140100000003</v>
      </c>
      <c r="D15" s="24">
        <v>1403.7656730000001</v>
      </c>
      <c r="E15" s="114" t="str">
        <f>IF((D15/D6-1)&gt;0,"+","")&amp;ROUND((D15/D6-1)*100,0)&amp;"%"</f>
        <v>+60%</v>
      </c>
    </row>
    <row r="16" spans="1:8" x14ac:dyDescent="0.25">
      <c r="A16" s="16"/>
      <c r="B16" s="9"/>
      <c r="C16" s="9"/>
      <c r="D16" s="9"/>
      <c r="E16" s="114"/>
    </row>
    <row r="17" spans="5:5" x14ac:dyDescent="0.25">
      <c r="E17" s="78"/>
    </row>
    <row r="18" spans="5:5" x14ac:dyDescent="0.25">
      <c r="E18" s="78"/>
    </row>
    <row r="19" spans="5:5" x14ac:dyDescent="0.25">
      <c r="E19" s="78"/>
    </row>
  </sheetData>
  <mergeCells count="2">
    <mergeCell ref="A3:D3"/>
    <mergeCell ref="A4:D4"/>
  </mergeCells>
  <pageMargins left="0.511811024" right="0.511811024" top="0.78740157499999996" bottom="0.78740157499999996" header="0.31496062000000002" footer="0.31496062000000002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Plan63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51.28515625" customWidth="1"/>
  </cols>
  <sheetData>
    <row r="1" spans="1:8" x14ac:dyDescent="0.25">
      <c r="C1" s="78" t="s">
        <v>1</v>
      </c>
      <c r="D1" s="78"/>
      <c r="E1" s="78"/>
      <c r="F1" s="78" t="s">
        <v>1</v>
      </c>
      <c r="G1" s="78" t="s">
        <v>252</v>
      </c>
      <c r="H1" s="78" t="s">
        <v>1220</v>
      </c>
    </row>
    <row r="3" spans="1:8" x14ac:dyDescent="0.25">
      <c r="A3" s="350" t="str">
        <f>"Tabela Referente à "&amp;G1</f>
        <v>Tabela Referente à Figura 3.6</v>
      </c>
      <c r="B3" s="350"/>
    </row>
    <row r="4" spans="1:8" ht="30" customHeight="1" x14ac:dyDescent="0.25">
      <c r="A4" s="351" t="str">
        <f>H1</f>
        <v>Variação da quantidade de carga paga e correio transportados – mercados doméstico e internacional, 2009 a 2018</v>
      </c>
      <c r="B4" s="351"/>
    </row>
    <row r="5" spans="1:8" x14ac:dyDescent="0.25">
      <c r="A5" s="1" t="s">
        <v>20</v>
      </c>
      <c r="B5" s="21" t="s">
        <v>828</v>
      </c>
    </row>
    <row r="6" spans="1:8" x14ac:dyDescent="0.25">
      <c r="A6" s="17">
        <v>2009</v>
      </c>
      <c r="B6" s="10">
        <v>-0.13695537212371278</v>
      </c>
    </row>
    <row r="7" spans="1:8" x14ac:dyDescent="0.25">
      <c r="A7" s="18">
        <v>2010</v>
      </c>
      <c r="B7" s="11">
        <v>0.29885462650762956</v>
      </c>
    </row>
    <row r="8" spans="1:8" x14ac:dyDescent="0.25">
      <c r="A8" s="17">
        <v>2011</v>
      </c>
      <c r="B8" s="10">
        <v>0.11104684635253906</v>
      </c>
    </row>
    <row r="9" spans="1:8" x14ac:dyDescent="0.25">
      <c r="A9" s="18">
        <v>2012</v>
      </c>
      <c r="B9" s="11">
        <v>9.2246302214041669E-3</v>
      </c>
    </row>
    <row r="10" spans="1:8" x14ac:dyDescent="0.25">
      <c r="A10" s="17">
        <v>2013</v>
      </c>
      <c r="B10" s="10">
        <v>4.8538423792265688E-2</v>
      </c>
    </row>
    <row r="11" spans="1:8" x14ac:dyDescent="0.25">
      <c r="A11" s="18">
        <v>2014</v>
      </c>
      <c r="B11" s="11">
        <v>-1.1699788270403421E-2</v>
      </c>
    </row>
    <row r="12" spans="1:8" x14ac:dyDescent="0.25">
      <c r="A12" s="17">
        <v>2015</v>
      </c>
      <c r="B12" s="10">
        <v>-7.7432700227464679E-2</v>
      </c>
    </row>
    <row r="13" spans="1:8" x14ac:dyDescent="0.25">
      <c r="A13" s="18">
        <v>2016</v>
      </c>
      <c r="B13" s="11">
        <v>-5.9577541558431535E-2</v>
      </c>
    </row>
    <row r="14" spans="1:8" x14ac:dyDescent="0.25">
      <c r="A14" s="17">
        <v>2017</v>
      </c>
      <c r="B14" s="10">
        <v>8.5094195204358888E-2</v>
      </c>
    </row>
    <row r="15" spans="1:8" x14ac:dyDescent="0.25">
      <c r="A15" s="18">
        <v>2018</v>
      </c>
      <c r="B15" s="11">
        <v>0.12840559496434881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Plan64"/>
  <dimension ref="A1:H16"/>
  <sheetViews>
    <sheetView showGridLines="0" workbookViewId="0">
      <selection activeCell="A5" sqref="A5:B15"/>
    </sheetView>
  </sheetViews>
  <sheetFormatPr defaultColWidth="18.5703125" defaultRowHeight="15" x14ac:dyDescent="0.25"/>
  <cols>
    <col min="2" max="2" width="34.140625" customWidth="1"/>
    <col min="3" max="3" width="7" customWidth="1"/>
  </cols>
  <sheetData>
    <row r="1" spans="1:8" x14ac:dyDescent="0.25">
      <c r="C1" s="78"/>
      <c r="D1" s="78"/>
      <c r="E1" s="78"/>
      <c r="F1" s="78"/>
      <c r="G1" s="78" t="s">
        <v>253</v>
      </c>
      <c r="H1" s="78" t="s">
        <v>1221</v>
      </c>
    </row>
    <row r="3" spans="1:8" x14ac:dyDescent="0.25">
      <c r="A3" s="350" t="str">
        <f>"Tabela Referente à "&amp;G1</f>
        <v>Tabela Referente à Figura 3.7</v>
      </c>
      <c r="B3" s="350"/>
    </row>
    <row r="4" spans="1:8" ht="30" customHeight="1" x14ac:dyDescent="0.25">
      <c r="A4" s="351" t="str">
        <f>H1</f>
        <v>Evolução do número de passageiros pagos transportados – mercado doméstico, 2009 a 2018</v>
      </c>
      <c r="B4" s="351"/>
    </row>
    <row r="5" spans="1:8" x14ac:dyDescent="0.25">
      <c r="A5" s="1" t="s">
        <v>20</v>
      </c>
      <c r="B5" s="21" t="s">
        <v>129</v>
      </c>
    </row>
    <row r="6" spans="1:8" x14ac:dyDescent="0.25">
      <c r="A6" s="17">
        <v>2009</v>
      </c>
      <c r="B6" s="23">
        <v>57123672</v>
      </c>
    </row>
    <row r="7" spans="1:8" x14ac:dyDescent="0.25">
      <c r="A7" s="18">
        <v>2010</v>
      </c>
      <c r="B7" s="24">
        <v>70148029</v>
      </c>
    </row>
    <row r="8" spans="1:8" x14ac:dyDescent="0.25">
      <c r="A8" s="17">
        <v>2011</v>
      </c>
      <c r="B8" s="23">
        <v>82072795</v>
      </c>
    </row>
    <row r="9" spans="1:8" x14ac:dyDescent="0.25">
      <c r="A9" s="18">
        <v>2012</v>
      </c>
      <c r="B9" s="24">
        <v>88688896</v>
      </c>
    </row>
    <row r="10" spans="1:8" x14ac:dyDescent="0.25">
      <c r="A10" s="17">
        <v>2013</v>
      </c>
      <c r="B10" s="23">
        <v>90239471</v>
      </c>
    </row>
    <row r="11" spans="1:8" x14ac:dyDescent="0.25">
      <c r="A11" s="18">
        <v>2014</v>
      </c>
      <c r="B11" s="24">
        <v>95913262</v>
      </c>
    </row>
    <row r="12" spans="1:8" x14ac:dyDescent="0.25">
      <c r="A12" s="17">
        <v>2015</v>
      </c>
      <c r="B12" s="23">
        <v>96180343</v>
      </c>
    </row>
    <row r="13" spans="1:8" x14ac:dyDescent="0.25">
      <c r="A13" s="18">
        <v>2016</v>
      </c>
      <c r="B13" s="24">
        <v>88680274</v>
      </c>
    </row>
    <row r="14" spans="1:8" x14ac:dyDescent="0.25">
      <c r="A14" s="17">
        <v>2017</v>
      </c>
      <c r="B14" s="23">
        <v>90626532</v>
      </c>
    </row>
    <row r="15" spans="1:8" x14ac:dyDescent="0.25">
      <c r="A15" s="18">
        <v>2018</v>
      </c>
      <c r="B15" s="24">
        <v>93648950</v>
      </c>
      <c r="C15" s="114" t="str">
        <f>IF((B15/B6-1)&gt;0,"+","")&amp;ROUND((B15/B6-1)*100,0)&amp;"%"</f>
        <v>+64%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Plan65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54.28515625" customWidth="1"/>
  </cols>
  <sheetData>
    <row r="1" spans="1:8" x14ac:dyDescent="0.25">
      <c r="C1" s="78"/>
      <c r="D1" s="78"/>
      <c r="E1" s="78"/>
      <c r="F1" s="78"/>
      <c r="G1" s="78" t="s">
        <v>254</v>
      </c>
      <c r="H1" s="78" t="s">
        <v>1222</v>
      </c>
    </row>
    <row r="3" spans="1:8" x14ac:dyDescent="0.25">
      <c r="A3" s="350" t="str">
        <f>"Tabela Referente à "&amp;G1</f>
        <v>Tabela Referente à Figura 3.8</v>
      </c>
      <c r="B3" s="350"/>
    </row>
    <row r="4" spans="1:8" ht="30" customHeight="1" x14ac:dyDescent="0.25">
      <c r="A4" s="351" t="str">
        <f>H1</f>
        <v>Variação nos passageiros pagos transportados em relação ao ano anterior – mercado doméstico, 2009 a 2018</v>
      </c>
      <c r="B4" s="351"/>
    </row>
    <row r="5" spans="1:8" x14ac:dyDescent="0.25">
      <c r="A5" s="1" t="s">
        <v>20</v>
      </c>
      <c r="B5" s="21" t="s">
        <v>130</v>
      </c>
    </row>
    <row r="6" spans="1:8" x14ac:dyDescent="0.25">
      <c r="A6" s="17">
        <v>2009</v>
      </c>
      <c r="B6" s="19">
        <v>0.13970925754929539</v>
      </c>
    </row>
    <row r="7" spans="1:8" x14ac:dyDescent="0.25">
      <c r="A7" s="18">
        <v>2010</v>
      </c>
      <c r="B7" s="20">
        <v>0.2280027971591182</v>
      </c>
    </row>
    <row r="8" spans="1:8" x14ac:dyDescent="0.25">
      <c r="A8" s="17">
        <v>2011</v>
      </c>
      <c r="B8" s="19">
        <v>0.1699943130262434</v>
      </c>
    </row>
    <row r="9" spans="1:8" x14ac:dyDescent="0.25">
      <c r="A9" s="18">
        <v>2012</v>
      </c>
      <c r="B9" s="20">
        <v>8.0612595196739675E-2</v>
      </c>
    </row>
    <row r="10" spans="1:8" x14ac:dyDescent="0.25">
      <c r="A10" s="17">
        <v>2013</v>
      </c>
      <c r="B10" s="19">
        <v>1.7483304787106607E-2</v>
      </c>
    </row>
    <row r="11" spans="1:8" x14ac:dyDescent="0.25">
      <c r="A11" s="18">
        <v>2014</v>
      </c>
      <c r="B11" s="20">
        <v>6.2874825584915056E-2</v>
      </c>
    </row>
    <row r="12" spans="1:8" x14ac:dyDescent="0.25">
      <c r="A12" s="17">
        <v>2015</v>
      </c>
      <c r="B12" s="19">
        <v>2.7846097028792535E-3</v>
      </c>
    </row>
    <row r="13" spans="1:8" x14ac:dyDescent="0.25">
      <c r="A13" s="18">
        <v>2016</v>
      </c>
      <c r="B13" s="20">
        <v>-7.797922908218366E-2</v>
      </c>
    </row>
    <row r="14" spans="1:8" x14ac:dyDescent="0.25">
      <c r="A14" s="17">
        <v>2017</v>
      </c>
      <c r="B14" s="19">
        <v>2.1946910087354939E-2</v>
      </c>
    </row>
    <row r="15" spans="1:8" x14ac:dyDescent="0.25">
      <c r="A15" s="18">
        <v>2018</v>
      </c>
      <c r="B15" s="20">
        <v>3.3350255530025137E-2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Plan66"/>
  <dimension ref="A1:H18"/>
  <sheetViews>
    <sheetView showGridLines="0" workbookViewId="0">
      <selection activeCell="G3" sqref="G3"/>
    </sheetView>
  </sheetViews>
  <sheetFormatPr defaultRowHeight="15" x14ac:dyDescent="0.25"/>
  <cols>
    <col min="1" max="1" width="9.28515625" customWidth="1"/>
    <col min="2" max="2" width="53.85546875" bestFit="1" customWidth="1"/>
  </cols>
  <sheetData>
    <row r="1" spans="1:8" x14ac:dyDescent="0.25">
      <c r="C1" s="78"/>
      <c r="D1" s="78"/>
      <c r="E1" s="78"/>
      <c r="F1" s="78"/>
      <c r="G1" s="78" t="s">
        <v>255</v>
      </c>
      <c r="H1" s="78" t="s">
        <v>1223</v>
      </c>
    </row>
    <row r="3" spans="1:8" x14ac:dyDescent="0.25">
      <c r="A3" s="350" t="str">
        <f>"Tabela Referente à "&amp;G1</f>
        <v>Tabela Referente à Figura 3.9</v>
      </c>
      <c r="B3" s="350"/>
    </row>
    <row r="4" spans="1:8" ht="33" customHeight="1" x14ac:dyDescent="0.25">
      <c r="A4" s="351" t="str">
        <f>H1</f>
        <v>Variação nos passageiros pagos transportados com relação ao mesmo mês do ano anterior – mercado doméstico, 2018</v>
      </c>
      <c r="B4" s="351"/>
    </row>
    <row r="5" spans="1:8" x14ac:dyDescent="0.25">
      <c r="A5" s="1" t="s">
        <v>20</v>
      </c>
      <c r="B5" s="21" t="s">
        <v>130</v>
      </c>
    </row>
    <row r="6" spans="1:8" x14ac:dyDescent="0.25">
      <c r="A6" s="17" t="s">
        <v>47</v>
      </c>
      <c r="B6" s="10">
        <v>2.199507920607691E-2</v>
      </c>
      <c r="C6" s="78">
        <v>1</v>
      </c>
    </row>
    <row r="7" spans="1:8" x14ac:dyDescent="0.25">
      <c r="A7" s="18" t="s">
        <v>48</v>
      </c>
      <c r="B7" s="11">
        <v>3.9021219998790886E-2</v>
      </c>
      <c r="C7" s="78">
        <v>2</v>
      </c>
    </row>
    <row r="8" spans="1:8" x14ac:dyDescent="0.25">
      <c r="A8" s="17" t="s">
        <v>49</v>
      </c>
      <c r="B8" s="10">
        <v>5.6693422063541672E-3</v>
      </c>
      <c r="C8" s="78">
        <v>3</v>
      </c>
    </row>
    <row r="9" spans="1:8" x14ac:dyDescent="0.25">
      <c r="A9" s="18" t="s">
        <v>50</v>
      </c>
      <c r="B9" s="11">
        <v>5.6754636053078684E-2</v>
      </c>
      <c r="C9" s="78">
        <v>4</v>
      </c>
    </row>
    <row r="10" spans="1:8" x14ac:dyDescent="0.25">
      <c r="A10" s="17" t="s">
        <v>51</v>
      </c>
      <c r="B10" s="10">
        <v>2.8686374563902429E-2</v>
      </c>
      <c r="C10" s="78">
        <v>5</v>
      </c>
    </row>
    <row r="11" spans="1:8" x14ac:dyDescent="0.25">
      <c r="A11" s="18" t="s">
        <v>52</v>
      </c>
      <c r="B11" s="11">
        <v>3.5027488402517584E-2</v>
      </c>
      <c r="C11" s="78">
        <v>6</v>
      </c>
    </row>
    <row r="12" spans="1:8" x14ac:dyDescent="0.25">
      <c r="A12" s="17" t="s">
        <v>53</v>
      </c>
      <c r="B12" s="10">
        <v>6.5799570657696219E-2</v>
      </c>
      <c r="C12" s="78">
        <v>7</v>
      </c>
    </row>
    <row r="13" spans="1:8" x14ac:dyDescent="0.25">
      <c r="A13" s="18" t="s">
        <v>54</v>
      </c>
      <c r="B13" s="11">
        <v>4.2320891440166465E-2</v>
      </c>
      <c r="C13" s="78">
        <v>8</v>
      </c>
    </row>
    <row r="14" spans="1:8" x14ac:dyDescent="0.25">
      <c r="A14" s="17" t="s">
        <v>55</v>
      </c>
      <c r="B14" s="10">
        <v>1.219847420377145E-2</v>
      </c>
      <c r="C14" s="78">
        <v>9</v>
      </c>
    </row>
    <row r="15" spans="1:8" x14ac:dyDescent="0.25">
      <c r="A15" s="18" t="s">
        <v>56</v>
      </c>
      <c r="B15" s="11">
        <v>2.1314243805137498E-2</v>
      </c>
      <c r="C15" s="78">
        <v>10</v>
      </c>
    </row>
    <row r="16" spans="1:8" x14ac:dyDescent="0.25">
      <c r="A16" s="17" t="s">
        <v>57</v>
      </c>
      <c r="B16" s="10">
        <v>4.0155995435401375E-2</v>
      </c>
      <c r="C16" s="78">
        <v>11</v>
      </c>
    </row>
    <row r="17" spans="1:3" x14ac:dyDescent="0.25">
      <c r="A17" s="18" t="s">
        <v>58</v>
      </c>
      <c r="B17" s="11">
        <v>3.2110416035775677E-2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Plan68"/>
  <dimension ref="A1:H20"/>
  <sheetViews>
    <sheetView showGridLines="0" workbookViewId="0">
      <selection activeCell="B10" sqref="B10"/>
    </sheetView>
  </sheetViews>
  <sheetFormatPr defaultRowHeight="15" x14ac:dyDescent="0.25"/>
  <cols>
    <col min="1" max="1" width="11.42578125" bestFit="1" customWidth="1"/>
    <col min="2" max="2" width="49.140625" customWidth="1"/>
    <col min="5" max="5" width="13.28515625" bestFit="1" customWidth="1"/>
  </cols>
  <sheetData>
    <row r="1" spans="1:8" x14ac:dyDescent="0.25">
      <c r="C1" s="78"/>
      <c r="D1" s="78"/>
      <c r="E1" s="78"/>
      <c r="F1" s="78"/>
      <c r="G1" s="78" t="s">
        <v>256</v>
      </c>
      <c r="H1" s="78" t="s">
        <v>1428</v>
      </c>
    </row>
    <row r="3" spans="1:8" x14ac:dyDescent="0.25">
      <c r="A3" s="350" t="str">
        <f>"Tabela Referente à "&amp;G1</f>
        <v>Tabela Referente à Figura 3.10</v>
      </c>
      <c r="B3" s="350"/>
    </row>
    <row r="4" spans="1:8" ht="31.5" customHeight="1" x14ac:dyDescent="0.25">
      <c r="A4" s="351" t="str">
        <f>H1</f>
        <v>Participação das quatro maiores empresas em passageiros pagos transportados – mercado doméstico, 2018</v>
      </c>
      <c r="B4" s="351"/>
    </row>
    <row r="5" spans="1:8" x14ac:dyDescent="0.25">
      <c r="A5" s="1" t="s">
        <v>7</v>
      </c>
      <c r="B5" s="21" t="s">
        <v>129</v>
      </c>
    </row>
    <row r="6" spans="1:8" x14ac:dyDescent="0.25">
      <c r="A6" s="27" t="s">
        <v>59</v>
      </c>
      <c r="B6" s="7">
        <v>31549950</v>
      </c>
      <c r="C6" s="140"/>
      <c r="D6" s="78" t="s">
        <v>376</v>
      </c>
    </row>
    <row r="7" spans="1:8" x14ac:dyDescent="0.25">
      <c r="A7" s="28" t="s">
        <v>526</v>
      </c>
      <c r="B7" s="8">
        <v>28501830</v>
      </c>
      <c r="C7" s="78" t="s">
        <v>526</v>
      </c>
      <c r="D7" s="78" t="s">
        <v>376</v>
      </c>
    </row>
    <row r="8" spans="1:8" x14ac:dyDescent="0.25">
      <c r="A8" s="27" t="s">
        <v>60</v>
      </c>
      <c r="B8" s="7">
        <v>21320269</v>
      </c>
      <c r="C8" s="78" t="s">
        <v>373</v>
      </c>
      <c r="D8" s="78"/>
    </row>
    <row r="9" spans="1:8" x14ac:dyDescent="0.25">
      <c r="A9" s="28" t="s">
        <v>61</v>
      </c>
      <c r="B9" s="8">
        <v>11604479</v>
      </c>
      <c r="C9" s="78" t="s">
        <v>375</v>
      </c>
      <c r="D9" s="78"/>
    </row>
    <row r="10" spans="1:8" x14ac:dyDescent="0.25">
      <c r="A10" s="27" t="s">
        <v>6</v>
      </c>
      <c r="B10" s="7">
        <v>672422</v>
      </c>
      <c r="C10" s="78" t="s">
        <v>374</v>
      </c>
      <c r="D10" s="78"/>
    </row>
    <row r="11" spans="1:8" x14ac:dyDescent="0.25">
      <c r="A11" s="1" t="s">
        <v>10</v>
      </c>
      <c r="B11" s="39">
        <v>93648950</v>
      </c>
      <c r="C11" s="115" t="e">
        <f>B10+#REF!</f>
        <v>#REF!</v>
      </c>
      <c r="D11" s="78"/>
    </row>
    <row r="12" spans="1:8" x14ac:dyDescent="0.25">
      <c r="B12" s="66"/>
      <c r="C12" s="78" t="str">
        <f>TEXT($B$11,"##.###")&amp;" passageiros"</f>
        <v>93.648.950 passageiros</v>
      </c>
    </row>
    <row r="20" spans="5:5" x14ac:dyDescent="0.25">
      <c r="E20" s="63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Plan69"/>
  <dimension ref="A1:H11"/>
  <sheetViews>
    <sheetView showGridLines="0" zoomScaleNormal="100" workbookViewId="0">
      <selection activeCell="L20" sqref="L20"/>
    </sheetView>
  </sheetViews>
  <sheetFormatPr defaultRowHeight="15" x14ac:dyDescent="0.25"/>
  <cols>
    <col min="1" max="1" width="11.42578125" bestFit="1" customWidth="1"/>
    <col min="2" max="2" width="45.85546875" customWidth="1"/>
  </cols>
  <sheetData>
    <row r="1" spans="1:8" x14ac:dyDescent="0.25">
      <c r="C1" s="78"/>
      <c r="D1" s="78"/>
      <c r="E1" s="78"/>
      <c r="F1" s="78"/>
      <c r="G1" s="78" t="s">
        <v>257</v>
      </c>
      <c r="H1" s="78" t="s">
        <v>1224</v>
      </c>
    </row>
    <row r="3" spans="1:8" x14ac:dyDescent="0.25">
      <c r="A3" s="350" t="str">
        <f>"Tabela Referente à "&amp;G1</f>
        <v>Tabela Referente à Figura 3.11</v>
      </c>
      <c r="B3" s="350"/>
    </row>
    <row r="4" spans="1:8" ht="32.25" customHeight="1" x14ac:dyDescent="0.25">
      <c r="A4" s="351" t="str">
        <f>H1</f>
        <v>Variação de passageiros pagos transportados com relação ao ano anterior por empresa – mercado doméstico, 2018</v>
      </c>
      <c r="B4" s="351"/>
    </row>
    <row r="5" spans="1:8" x14ac:dyDescent="0.25">
      <c r="A5" s="1" t="s">
        <v>7</v>
      </c>
      <c r="B5" s="21" t="s">
        <v>130</v>
      </c>
    </row>
    <row r="6" spans="1:8" x14ac:dyDescent="0.25">
      <c r="A6" s="27" t="s">
        <v>61</v>
      </c>
      <c r="B6" s="343">
        <v>8.9877257687478007E-2</v>
      </c>
    </row>
    <row r="7" spans="1:8" x14ac:dyDescent="0.25">
      <c r="A7" s="28" t="s">
        <v>59</v>
      </c>
      <c r="B7" s="344">
        <v>3.7433009835669662E-2</v>
      </c>
    </row>
    <row r="8" spans="1:8" x14ac:dyDescent="0.25">
      <c r="A8" s="27" t="s">
        <v>60</v>
      </c>
      <c r="B8" s="343">
        <v>3.0876389084781408E-2</v>
      </c>
    </row>
    <row r="9" spans="1:8" x14ac:dyDescent="0.25">
      <c r="A9" s="28" t="s">
        <v>526</v>
      </c>
      <c r="B9" s="344">
        <v>1.4631542591604152E-2</v>
      </c>
    </row>
    <row r="10" spans="1:8" x14ac:dyDescent="0.25">
      <c r="A10" s="27" t="s">
        <v>6</v>
      </c>
      <c r="B10" s="343">
        <v>-0.15414041262609168</v>
      </c>
    </row>
    <row r="11" spans="1:8" x14ac:dyDescent="0.25">
      <c r="A11" s="1" t="s">
        <v>10</v>
      </c>
      <c r="B11" s="170">
        <v>3.335025553002513E-2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Plan70"/>
  <dimension ref="A1:H11"/>
  <sheetViews>
    <sheetView showGridLines="0" workbookViewId="0">
      <selection activeCell="G18" sqref="G18"/>
    </sheetView>
  </sheetViews>
  <sheetFormatPr defaultRowHeight="15" x14ac:dyDescent="0.25"/>
  <cols>
    <col min="1" max="1" width="11.42578125" bestFit="1" customWidth="1"/>
    <col min="2" max="2" width="49.140625" customWidth="1"/>
  </cols>
  <sheetData>
    <row r="1" spans="1:8" x14ac:dyDescent="0.25">
      <c r="C1" s="78"/>
      <c r="D1" s="78"/>
      <c r="E1" s="78"/>
      <c r="F1" s="78"/>
      <c r="G1" s="78" t="s">
        <v>258</v>
      </c>
      <c r="H1" s="78" t="s">
        <v>1225</v>
      </c>
    </row>
    <row r="3" spans="1:8" x14ac:dyDescent="0.25">
      <c r="A3" s="350" t="str">
        <f>"Tabela Referente à "&amp;G1</f>
        <v>Tabela Referente à Figura 3.12</v>
      </c>
      <c r="B3" s="350"/>
    </row>
    <row r="4" spans="1:8" ht="31.5" customHeight="1" x14ac:dyDescent="0.25">
      <c r="A4" s="351" t="str">
        <f>H1</f>
        <v>Variação no número de passageiros pagos transportados (milhões de passageiros) – mercado doméstico, 2018</v>
      </c>
      <c r="B4" s="351"/>
    </row>
    <row r="5" spans="1:8" x14ac:dyDescent="0.25">
      <c r="A5" s="1" t="s">
        <v>7</v>
      </c>
      <c r="B5" s="21" t="s">
        <v>846</v>
      </c>
    </row>
    <row r="6" spans="1:8" x14ac:dyDescent="0.25">
      <c r="A6" s="28" t="s">
        <v>59</v>
      </c>
      <c r="B6" s="171">
        <v>1138396</v>
      </c>
      <c r="C6" s="78" t="s">
        <v>373</v>
      </c>
    </row>
    <row r="7" spans="1:8" x14ac:dyDescent="0.25">
      <c r="A7" s="27" t="s">
        <v>61</v>
      </c>
      <c r="B7" s="172">
        <v>956969</v>
      </c>
      <c r="C7" s="78" t="s">
        <v>372</v>
      </c>
    </row>
    <row r="8" spans="1:8" x14ac:dyDescent="0.25">
      <c r="A8" s="28" t="s">
        <v>60</v>
      </c>
      <c r="B8" s="171">
        <v>638576</v>
      </c>
      <c r="C8" s="78" t="s">
        <v>374</v>
      </c>
    </row>
    <row r="9" spans="1:8" x14ac:dyDescent="0.25">
      <c r="A9" s="27" t="s">
        <v>526</v>
      </c>
      <c r="B9" s="172">
        <v>411012</v>
      </c>
      <c r="C9" s="78" t="s">
        <v>526</v>
      </c>
    </row>
    <row r="10" spans="1:8" x14ac:dyDescent="0.25">
      <c r="A10" s="1" t="s">
        <v>6</v>
      </c>
      <c r="B10" s="252">
        <v>-122535</v>
      </c>
    </row>
    <row r="11" spans="1:8" x14ac:dyDescent="0.25">
      <c r="A11" t="s">
        <v>10</v>
      </c>
      <c r="B11">
        <v>3022418</v>
      </c>
    </row>
  </sheetData>
  <sortState xmlns:xlrd2="http://schemas.microsoft.com/office/spreadsheetml/2017/richdata2" ref="A6:B9">
    <sortCondition descending="1" ref="B6:B9"/>
  </sortState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0"/>
  <dimension ref="A1:H18"/>
  <sheetViews>
    <sheetView showGridLines="0" workbookViewId="0">
      <selection activeCell="A5" sqref="A5:F11"/>
    </sheetView>
  </sheetViews>
  <sheetFormatPr defaultRowHeight="15" x14ac:dyDescent="0.25"/>
  <cols>
    <col min="1" max="1" width="26.7109375" customWidth="1"/>
    <col min="2" max="2" width="11.140625" customWidth="1"/>
    <col min="3" max="3" width="9.42578125" customWidth="1"/>
  </cols>
  <sheetData>
    <row r="1" spans="1:8" x14ac:dyDescent="0.25">
      <c r="C1" s="78"/>
      <c r="D1" s="78"/>
      <c r="E1" s="78"/>
      <c r="F1" s="78"/>
      <c r="G1" s="78" t="s">
        <v>1129</v>
      </c>
      <c r="H1" s="78" t="s">
        <v>1130</v>
      </c>
    </row>
    <row r="3" spans="1:8" x14ac:dyDescent="0.25">
      <c r="A3" s="350" t="str">
        <f>"Tabela Referente à "&amp;G1</f>
        <v>Tabela Referente à Figura 1.6</v>
      </c>
      <c r="B3" s="350"/>
      <c r="C3" s="350"/>
      <c r="D3" s="350"/>
      <c r="E3" s="350"/>
    </row>
    <row r="4" spans="1:8" ht="20.25" customHeight="1" x14ac:dyDescent="0.25">
      <c r="A4" s="351" t="str">
        <f>H1</f>
        <v>Quantidade de aeronaves por fabricante – empresas aéreas brasileiras, 2014 a 2018</v>
      </c>
      <c r="B4" s="351"/>
      <c r="C4" s="351"/>
      <c r="D4" s="351"/>
      <c r="E4" s="351"/>
      <c r="F4" s="351"/>
    </row>
    <row r="5" spans="1:8" x14ac:dyDescent="0.25">
      <c r="A5" s="1" t="s">
        <v>720</v>
      </c>
      <c r="B5" s="1">
        <v>2014</v>
      </c>
      <c r="C5" s="1">
        <v>2015</v>
      </c>
      <c r="D5" s="1">
        <v>2016</v>
      </c>
      <c r="E5" s="1">
        <v>2017</v>
      </c>
      <c r="F5" s="1">
        <v>2018</v>
      </c>
    </row>
    <row r="6" spans="1:8" x14ac:dyDescent="0.25">
      <c r="A6" s="43" t="s">
        <v>34</v>
      </c>
      <c r="B6" s="8">
        <v>183</v>
      </c>
      <c r="C6" s="8">
        <v>195</v>
      </c>
      <c r="D6" s="8">
        <v>195</v>
      </c>
      <c r="E6" s="8">
        <v>189</v>
      </c>
      <c r="F6" s="8">
        <v>193</v>
      </c>
      <c r="G6" s="201">
        <f t="shared" ref="G6:G11" si="0">F6/$F$12</f>
        <v>5826.1875000000018</v>
      </c>
    </row>
    <row r="7" spans="1:8" x14ac:dyDescent="0.25">
      <c r="A7" s="42" t="s">
        <v>35</v>
      </c>
      <c r="B7" s="7">
        <v>76</v>
      </c>
      <c r="C7" s="7">
        <v>78</v>
      </c>
      <c r="D7" s="7">
        <v>56</v>
      </c>
      <c r="E7" s="7">
        <v>54</v>
      </c>
      <c r="F7" s="7">
        <v>47</v>
      </c>
      <c r="G7" s="201">
        <f t="shared" si="0"/>
        <v>1418.8125000000005</v>
      </c>
    </row>
    <row r="8" spans="1:8" x14ac:dyDescent="0.25">
      <c r="A8" s="43" t="s">
        <v>338</v>
      </c>
      <c r="B8" s="8">
        <v>184</v>
      </c>
      <c r="C8" s="8">
        <v>186</v>
      </c>
      <c r="D8" s="8">
        <v>171</v>
      </c>
      <c r="E8" s="8">
        <v>166</v>
      </c>
      <c r="F8" s="8">
        <v>186</v>
      </c>
      <c r="G8" s="201">
        <f t="shared" si="0"/>
        <v>5614.8750000000018</v>
      </c>
    </row>
    <row r="9" spans="1:8" x14ac:dyDescent="0.25">
      <c r="A9" s="42" t="s">
        <v>869</v>
      </c>
      <c r="B9" s="7">
        <v>89</v>
      </c>
      <c r="C9" s="7">
        <v>91</v>
      </c>
      <c r="D9" s="7">
        <v>76</v>
      </c>
      <c r="E9" s="7">
        <v>74</v>
      </c>
      <c r="F9" s="7">
        <v>63</v>
      </c>
      <c r="G9" s="201">
        <f t="shared" si="0"/>
        <v>1901.8125000000007</v>
      </c>
    </row>
    <row r="10" spans="1:8" x14ac:dyDescent="0.25">
      <c r="A10" s="43" t="s">
        <v>36</v>
      </c>
      <c r="B10" s="8">
        <v>11</v>
      </c>
      <c r="C10" s="8">
        <v>7</v>
      </c>
      <c r="D10" s="8">
        <v>0</v>
      </c>
      <c r="E10" s="8" t="s">
        <v>868</v>
      </c>
      <c r="F10" s="8" t="s">
        <v>868</v>
      </c>
      <c r="G10" s="201" t="e">
        <f t="shared" si="0"/>
        <v>#VALUE!</v>
      </c>
    </row>
    <row r="11" spans="1:8" x14ac:dyDescent="0.25">
      <c r="A11" s="16" t="s">
        <v>42</v>
      </c>
      <c r="B11" s="9">
        <v>549</v>
      </c>
      <c r="C11" s="9">
        <v>561</v>
      </c>
      <c r="D11" s="9">
        <v>498</v>
      </c>
      <c r="E11" s="9">
        <v>483</v>
      </c>
      <c r="F11" s="9">
        <v>499</v>
      </c>
      <c r="G11" s="201">
        <f t="shared" si="0"/>
        <v>15063.562500000005</v>
      </c>
    </row>
    <row r="12" spans="1:8" x14ac:dyDescent="0.25">
      <c r="A12" s="114"/>
      <c r="B12" s="114" t="e">
        <f t="shared" ref="B12:F12" si="1">B11/A11-1</f>
        <v>#VALUE!</v>
      </c>
      <c r="C12" s="114">
        <f t="shared" si="1"/>
        <v>2.1857923497267784E-2</v>
      </c>
      <c r="D12" s="114">
        <f t="shared" si="1"/>
        <v>-0.11229946524064172</v>
      </c>
      <c r="E12" s="114">
        <f t="shared" si="1"/>
        <v>-3.0120481927710885E-2</v>
      </c>
      <c r="F12" s="114">
        <f t="shared" si="1"/>
        <v>3.3126293995859202E-2</v>
      </c>
      <c r="G12" s="201"/>
    </row>
    <row r="13" spans="1:8" x14ac:dyDescent="0.25">
      <c r="F13" s="114">
        <f>F12/E12-1</f>
        <v>-2.0997929606625241</v>
      </c>
    </row>
    <row r="14" spans="1:8" x14ac:dyDescent="0.25">
      <c r="E14" s="114">
        <f>E12/D12-1</f>
        <v>-0.73178427997705064</v>
      </c>
    </row>
    <row r="15" spans="1:8" x14ac:dyDescent="0.25">
      <c r="E15" s="78"/>
    </row>
    <row r="16" spans="1:8" x14ac:dyDescent="0.25">
      <c r="E16" s="114">
        <f>E7/E12</f>
        <v>-1792.7999999999975</v>
      </c>
    </row>
    <row r="17" spans="5:5" x14ac:dyDescent="0.25">
      <c r="E17" s="114">
        <f>E6/E12</f>
        <v>-6274.7999999999911</v>
      </c>
    </row>
    <row r="18" spans="5:5" x14ac:dyDescent="0.25">
      <c r="E18" s="114">
        <f>E8/E12</f>
        <v>-5511.1999999999925</v>
      </c>
    </row>
  </sheetData>
  <mergeCells count="2">
    <mergeCell ref="A3:E3"/>
    <mergeCell ref="A4:F4"/>
  </mergeCells>
  <pageMargins left="0.511811024" right="0.511811024" top="0.78740157499999996" bottom="0.78740157499999996" header="0.31496062000000002" footer="0.31496062000000002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Plan71"/>
  <dimension ref="A1:H11"/>
  <sheetViews>
    <sheetView showGridLines="0" workbookViewId="0">
      <selection activeCell="D10" sqref="D10"/>
    </sheetView>
  </sheetViews>
  <sheetFormatPr defaultRowHeight="15" x14ac:dyDescent="0.25"/>
  <cols>
    <col min="1" max="1" width="17.7109375" customWidth="1"/>
    <col min="2" max="2" width="31.85546875" customWidth="1"/>
    <col min="3" max="3" width="26" bestFit="1" customWidth="1"/>
  </cols>
  <sheetData>
    <row r="1" spans="1:8" x14ac:dyDescent="0.25">
      <c r="C1" s="78"/>
      <c r="D1" s="78"/>
      <c r="E1" s="78"/>
      <c r="F1" s="78"/>
      <c r="G1" s="78" t="s">
        <v>259</v>
      </c>
      <c r="H1" s="78" t="s">
        <v>1226</v>
      </c>
    </row>
    <row r="3" spans="1:8" x14ac:dyDescent="0.25">
      <c r="A3" s="350" t="str">
        <f>"Tabela Referente à "&amp;G1</f>
        <v>Tabela Referente à Figura 3.13</v>
      </c>
      <c r="B3" s="350"/>
      <c r="C3" s="350"/>
    </row>
    <row r="4" spans="1:8" ht="30.75" customHeight="1" x14ac:dyDescent="0.25">
      <c r="A4" s="351" t="str">
        <f>H1</f>
        <v>Passageiros pagos embarcados por região brasileira, em milhões – mercado doméstico, 2018</v>
      </c>
      <c r="B4" s="351"/>
      <c r="C4" s="351"/>
    </row>
    <row r="5" spans="1:8" x14ac:dyDescent="0.25">
      <c r="A5" s="1" t="s">
        <v>428</v>
      </c>
      <c r="B5" s="21" t="s">
        <v>131</v>
      </c>
      <c r="C5" s="21" t="s">
        <v>825</v>
      </c>
    </row>
    <row r="6" spans="1:8" x14ac:dyDescent="0.25">
      <c r="A6" s="27" t="s">
        <v>69</v>
      </c>
      <c r="B6" s="7">
        <v>12612809</v>
      </c>
      <c r="C6" s="10">
        <v>4.8586025220151943E-2</v>
      </c>
      <c r="D6" s="318">
        <f>((B6/B$8)*(D$8^2))^(1/2)</f>
        <v>3.1564350779733639</v>
      </c>
      <c r="E6" s="30"/>
      <c r="F6" s="30"/>
    </row>
    <row r="7" spans="1:8" x14ac:dyDescent="0.25">
      <c r="A7" s="28" t="s">
        <v>67</v>
      </c>
      <c r="B7" s="8">
        <v>17647990</v>
      </c>
      <c r="C7" s="11">
        <v>4.2571599300895324E-2</v>
      </c>
      <c r="D7" s="318">
        <f>((B7/B$8)*(D$8^2))^(1/2)</f>
        <v>3.7336927465012417</v>
      </c>
      <c r="E7" s="30"/>
      <c r="F7" s="30"/>
    </row>
    <row r="8" spans="1:8" x14ac:dyDescent="0.25">
      <c r="A8" s="27" t="s">
        <v>70</v>
      </c>
      <c r="B8" s="7">
        <v>5063818</v>
      </c>
      <c r="C8" s="10">
        <v>5.672483244445474E-2</v>
      </c>
      <c r="D8" s="29">
        <f>2</f>
        <v>2</v>
      </c>
      <c r="E8" s="30"/>
      <c r="F8" s="30"/>
    </row>
    <row r="9" spans="1:8" x14ac:dyDescent="0.25">
      <c r="A9" s="28" t="s">
        <v>65</v>
      </c>
      <c r="B9" s="8">
        <v>46151135</v>
      </c>
      <c r="C9" s="11">
        <v>2.8794961859730211E-2</v>
      </c>
      <c r="D9" s="318">
        <f>((B9/B$8)*(D$8^2))^(1/2)</f>
        <v>6.0378475686458462</v>
      </c>
      <c r="E9" s="30"/>
      <c r="F9" s="30"/>
    </row>
    <row r="10" spans="1:8" x14ac:dyDescent="0.25">
      <c r="A10" s="27" t="s">
        <v>68</v>
      </c>
      <c r="B10" s="7">
        <v>12173198</v>
      </c>
      <c r="C10" s="10">
        <v>1.2798594135614629E-2</v>
      </c>
      <c r="D10" s="318">
        <f>((B10/B$8)*(D$8^2))^(1/2)</f>
        <v>3.1009395100907198</v>
      </c>
      <c r="E10" s="30"/>
      <c r="F10" s="30"/>
    </row>
    <row r="11" spans="1:8" x14ac:dyDescent="0.25">
      <c r="A11" s="1"/>
      <c r="B11" s="1"/>
      <c r="C11" s="1"/>
    </row>
  </sheetData>
  <sortState xmlns:xlrd2="http://schemas.microsoft.com/office/spreadsheetml/2017/richdata2" ref="A6:B10">
    <sortCondition descending="1" ref="B6:B10"/>
  </sortState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Plan72"/>
  <dimension ref="A1:H12"/>
  <sheetViews>
    <sheetView showGridLines="0" workbookViewId="0">
      <selection activeCell="J21" sqref="J21"/>
    </sheetView>
  </sheetViews>
  <sheetFormatPr defaultRowHeight="15" x14ac:dyDescent="0.25"/>
  <cols>
    <col min="1" max="1" width="17.7109375" customWidth="1"/>
    <col min="2" max="2" width="33.140625" customWidth="1"/>
  </cols>
  <sheetData>
    <row r="1" spans="1:8" x14ac:dyDescent="0.25">
      <c r="C1" s="78"/>
      <c r="D1" s="78"/>
      <c r="E1" s="78"/>
      <c r="F1" s="78"/>
      <c r="G1" s="78" t="s">
        <v>260</v>
      </c>
      <c r="H1" s="78" t="s">
        <v>1227</v>
      </c>
    </row>
    <row r="3" spans="1:8" x14ac:dyDescent="0.25">
      <c r="A3" s="350" t="str">
        <f>"Tabela Referente à "&amp;G1</f>
        <v>Tabela Referente à Figura 3.14</v>
      </c>
      <c r="B3" s="350"/>
    </row>
    <row r="4" spans="1:8" ht="29.25" customHeight="1" x14ac:dyDescent="0.25">
      <c r="A4" s="351" t="str">
        <f>H1</f>
        <v>Distribuição dos passageiros embarcados por região – mercado doméstico, 2018</v>
      </c>
      <c r="B4" s="351"/>
    </row>
    <row r="5" spans="1:8" x14ac:dyDescent="0.25">
      <c r="A5" s="1" t="s">
        <v>428</v>
      </c>
      <c r="B5" s="21" t="s">
        <v>131</v>
      </c>
    </row>
    <row r="6" spans="1:8" x14ac:dyDescent="0.25">
      <c r="A6" s="27" t="s">
        <v>69</v>
      </c>
      <c r="B6" s="7">
        <v>12612809</v>
      </c>
      <c r="D6" s="29"/>
      <c r="E6" s="30"/>
      <c r="F6" s="30"/>
    </row>
    <row r="7" spans="1:8" x14ac:dyDescent="0.25">
      <c r="A7" s="28" t="s">
        <v>67</v>
      </c>
      <c r="B7" s="8">
        <v>17647990</v>
      </c>
      <c r="D7" s="29"/>
      <c r="E7" s="30"/>
      <c r="F7" s="30"/>
    </row>
    <row r="8" spans="1:8" x14ac:dyDescent="0.25">
      <c r="A8" s="27" t="s">
        <v>70</v>
      </c>
      <c r="B8" s="7">
        <v>5063818</v>
      </c>
      <c r="D8" s="29"/>
      <c r="E8" s="30"/>
      <c r="F8" s="30"/>
    </row>
    <row r="9" spans="1:8" x14ac:dyDescent="0.25">
      <c r="A9" s="28" t="s">
        <v>65</v>
      </c>
      <c r="B9" s="8">
        <v>46151135</v>
      </c>
      <c r="D9" s="29"/>
      <c r="E9" s="30"/>
      <c r="F9" s="30"/>
    </row>
    <row r="10" spans="1:8" x14ac:dyDescent="0.25">
      <c r="A10" s="27" t="s">
        <v>68</v>
      </c>
      <c r="B10" s="7">
        <v>12173198</v>
      </c>
      <c r="D10" s="29"/>
      <c r="E10" s="30"/>
      <c r="F10" s="30"/>
    </row>
    <row r="11" spans="1:8" x14ac:dyDescent="0.25">
      <c r="A11" s="1" t="s">
        <v>42</v>
      </c>
      <c r="B11" s="279">
        <f>SUM(B6:B10)</f>
        <v>93648950</v>
      </c>
    </row>
    <row r="12" spans="1:8" x14ac:dyDescent="0.25">
      <c r="C12" s="78" t="str">
        <f>TEXT($B$11,"##.###")&amp;" passageiros"</f>
        <v>93.648.950 passageiros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Plan73"/>
  <dimension ref="A1:H56"/>
  <sheetViews>
    <sheetView showGridLines="0" topLeftCell="A25" workbookViewId="0">
      <selection activeCell="B51" sqref="B51"/>
    </sheetView>
  </sheetViews>
  <sheetFormatPr defaultRowHeight="15" x14ac:dyDescent="0.25"/>
  <cols>
    <col min="1" max="1" width="21" bestFit="1" customWidth="1"/>
    <col min="2" max="2" width="34.5703125" customWidth="1"/>
    <col min="5" max="5" width="15.85546875" bestFit="1" customWidth="1"/>
    <col min="6" max="6" width="11.5703125" bestFit="1" customWidth="1"/>
  </cols>
  <sheetData>
    <row r="1" spans="1:8" x14ac:dyDescent="0.25">
      <c r="C1" s="78"/>
      <c r="D1" s="78"/>
      <c r="E1" s="78"/>
      <c r="F1" s="78"/>
      <c r="G1" s="78" t="s">
        <v>261</v>
      </c>
      <c r="H1" s="78" t="s">
        <v>1429</v>
      </c>
    </row>
    <row r="3" spans="1:8" x14ac:dyDescent="0.25">
      <c r="A3" s="350" t="str">
        <f>"Tabela Referente à "&amp;G1</f>
        <v>Tabela Referente à Figura 3.15</v>
      </c>
      <c r="B3" s="350"/>
    </row>
    <row r="4" spans="1:8" ht="34.5" customHeight="1" x14ac:dyDescent="0.25">
      <c r="A4" s="351" t="str">
        <f>H1</f>
        <v>Passageiros embarcados por aeroporto e unidade da federação – região Sudeste – mercado doméstico, 2018</v>
      </c>
      <c r="B4" s="351"/>
    </row>
    <row r="5" spans="1:8" x14ac:dyDescent="0.25">
      <c r="A5" s="1" t="s">
        <v>101</v>
      </c>
      <c r="B5" s="21" t="s">
        <v>829</v>
      </c>
    </row>
    <row r="6" spans="1:8" x14ac:dyDescent="0.25">
      <c r="A6" s="276" t="s">
        <v>132</v>
      </c>
      <c r="B6" s="168">
        <v>1517213</v>
      </c>
      <c r="F6" s="64"/>
    </row>
    <row r="7" spans="1:8" x14ac:dyDescent="0.25">
      <c r="A7" s="276" t="s">
        <v>763</v>
      </c>
      <c r="B7" s="168">
        <v>1517213</v>
      </c>
      <c r="E7" s="65"/>
      <c r="F7" s="66"/>
    </row>
    <row r="8" spans="1:8" x14ac:dyDescent="0.25">
      <c r="A8" s="276" t="s">
        <v>764</v>
      </c>
      <c r="B8" s="168">
        <v>4</v>
      </c>
      <c r="E8" s="65"/>
      <c r="F8" s="66"/>
    </row>
    <row r="9" spans="1:8" x14ac:dyDescent="0.25">
      <c r="A9" s="276" t="s">
        <v>767</v>
      </c>
      <c r="B9" s="168">
        <v>54</v>
      </c>
      <c r="C9" s="29"/>
      <c r="E9" s="65"/>
      <c r="F9" s="66"/>
    </row>
    <row r="10" spans="1:8" x14ac:dyDescent="0.25">
      <c r="A10" s="276" t="s">
        <v>765</v>
      </c>
      <c r="B10" s="168">
        <v>57</v>
      </c>
      <c r="C10" s="29"/>
      <c r="E10" s="65"/>
      <c r="F10" s="66"/>
    </row>
    <row r="11" spans="1:8" x14ac:dyDescent="0.25">
      <c r="A11" s="276" t="s">
        <v>766</v>
      </c>
      <c r="B11" s="168">
        <v>59</v>
      </c>
      <c r="E11" s="65"/>
      <c r="F11" s="66"/>
    </row>
    <row r="12" spans="1:8" x14ac:dyDescent="0.25">
      <c r="A12" s="276" t="s">
        <v>769</v>
      </c>
      <c r="B12" s="168">
        <v>106</v>
      </c>
      <c r="E12" s="65"/>
      <c r="F12" s="66"/>
    </row>
    <row r="13" spans="1:8" x14ac:dyDescent="0.25">
      <c r="A13" s="276" t="s">
        <v>768</v>
      </c>
      <c r="B13" s="168">
        <v>121</v>
      </c>
      <c r="E13" s="65"/>
      <c r="F13" s="66"/>
    </row>
    <row r="14" spans="1:8" x14ac:dyDescent="0.25">
      <c r="A14" s="276" t="s">
        <v>771</v>
      </c>
      <c r="B14" s="168">
        <v>171</v>
      </c>
      <c r="E14" s="65"/>
      <c r="F14" s="66"/>
    </row>
    <row r="15" spans="1:8" x14ac:dyDescent="0.25">
      <c r="A15" s="276" t="s">
        <v>770</v>
      </c>
      <c r="B15" s="168">
        <v>317</v>
      </c>
      <c r="E15" s="65"/>
      <c r="F15" s="66"/>
    </row>
    <row r="16" spans="1:8" x14ac:dyDescent="0.25">
      <c r="A16" s="276" t="s">
        <v>772</v>
      </c>
      <c r="B16" s="168">
        <v>350</v>
      </c>
      <c r="E16" s="65"/>
      <c r="F16" s="66"/>
    </row>
    <row r="17" spans="1:6" x14ac:dyDescent="0.25">
      <c r="A17" s="276" t="s">
        <v>774</v>
      </c>
      <c r="B17" s="168">
        <v>350</v>
      </c>
      <c r="E17" s="65"/>
      <c r="F17" s="66"/>
    </row>
    <row r="18" spans="1:6" x14ac:dyDescent="0.25">
      <c r="A18" s="276" t="s">
        <v>775</v>
      </c>
      <c r="B18" s="168">
        <v>406</v>
      </c>
      <c r="E18" s="65"/>
      <c r="F18" s="66"/>
    </row>
    <row r="19" spans="1:6" x14ac:dyDescent="0.25">
      <c r="A19" s="276" t="s">
        <v>773</v>
      </c>
      <c r="B19" s="168">
        <v>440</v>
      </c>
      <c r="E19" s="65"/>
      <c r="F19" s="66"/>
    </row>
    <row r="20" spans="1:6" x14ac:dyDescent="0.25">
      <c r="A20" s="276" t="s">
        <v>776</v>
      </c>
      <c r="B20" s="168">
        <v>747</v>
      </c>
      <c r="E20" s="65"/>
      <c r="F20" s="66"/>
    </row>
    <row r="21" spans="1:6" x14ac:dyDescent="0.25">
      <c r="A21" s="276" t="s">
        <v>135</v>
      </c>
      <c r="B21" s="168">
        <v>770</v>
      </c>
      <c r="E21" s="65"/>
      <c r="F21" s="66"/>
    </row>
    <row r="22" spans="1:6" x14ac:dyDescent="0.25">
      <c r="A22" s="276" t="s">
        <v>133</v>
      </c>
      <c r="B22" s="168">
        <v>778</v>
      </c>
      <c r="E22" s="65"/>
      <c r="F22" s="66"/>
    </row>
    <row r="23" spans="1:6" x14ac:dyDescent="0.25">
      <c r="A23" s="276" t="s">
        <v>777</v>
      </c>
      <c r="B23" s="168">
        <v>892</v>
      </c>
      <c r="E23" s="65"/>
      <c r="F23" s="66"/>
    </row>
    <row r="24" spans="1:6" x14ac:dyDescent="0.25">
      <c r="A24" s="276" t="s">
        <v>778</v>
      </c>
      <c r="B24" s="168">
        <v>1126</v>
      </c>
      <c r="E24" s="65"/>
      <c r="F24" s="66"/>
    </row>
    <row r="25" spans="1:6" x14ac:dyDescent="0.25">
      <c r="A25" s="276" t="s">
        <v>450</v>
      </c>
      <c r="B25" s="168">
        <v>1321</v>
      </c>
      <c r="E25" s="65"/>
      <c r="F25" s="66"/>
    </row>
    <row r="26" spans="1:6" x14ac:dyDescent="0.25">
      <c r="A26" s="276" t="s">
        <v>779</v>
      </c>
      <c r="B26" s="168">
        <v>1734</v>
      </c>
      <c r="E26" s="65"/>
      <c r="F26" s="66"/>
    </row>
    <row r="27" spans="1:6" x14ac:dyDescent="0.25">
      <c r="A27" s="276" t="s">
        <v>134</v>
      </c>
      <c r="B27" s="168">
        <v>4290</v>
      </c>
      <c r="E27" s="65"/>
      <c r="F27" s="66"/>
    </row>
    <row r="28" spans="1:6" x14ac:dyDescent="0.25">
      <c r="A28" s="276" t="s">
        <v>141</v>
      </c>
      <c r="B28" s="168">
        <v>18437</v>
      </c>
      <c r="E28" s="65"/>
      <c r="F28" s="66"/>
    </row>
    <row r="29" spans="1:6" x14ac:dyDescent="0.25">
      <c r="A29" s="276" t="s">
        <v>137</v>
      </c>
      <c r="B29" s="168">
        <v>21882</v>
      </c>
      <c r="E29" s="65"/>
      <c r="F29" s="66"/>
    </row>
    <row r="30" spans="1:6" x14ac:dyDescent="0.25">
      <c r="A30" s="276" t="s">
        <v>138</v>
      </c>
      <c r="B30" s="168">
        <v>30614</v>
      </c>
      <c r="E30" s="65"/>
      <c r="F30" s="66"/>
    </row>
    <row r="31" spans="1:6" x14ac:dyDescent="0.25">
      <c r="A31" s="276" t="s">
        <v>139</v>
      </c>
      <c r="B31" s="168">
        <v>63721</v>
      </c>
      <c r="E31" s="65"/>
      <c r="F31" s="66"/>
    </row>
    <row r="32" spans="1:6" x14ac:dyDescent="0.25">
      <c r="A32" s="276" t="s">
        <v>136</v>
      </c>
      <c r="B32" s="168">
        <v>72599</v>
      </c>
      <c r="E32" s="65"/>
      <c r="F32" s="66"/>
    </row>
    <row r="33" spans="1:6" x14ac:dyDescent="0.25">
      <c r="A33" s="276" t="s">
        <v>140</v>
      </c>
      <c r="B33" s="168">
        <v>110561</v>
      </c>
      <c r="E33" s="65"/>
      <c r="F33" s="66"/>
    </row>
    <row r="34" spans="1:6" x14ac:dyDescent="0.25">
      <c r="A34" s="276" t="s">
        <v>142</v>
      </c>
      <c r="B34" s="168">
        <v>544280</v>
      </c>
      <c r="E34" s="65"/>
      <c r="F34" s="66"/>
    </row>
    <row r="35" spans="1:6" x14ac:dyDescent="0.25">
      <c r="A35" s="276" t="s">
        <v>143</v>
      </c>
      <c r="B35" s="168">
        <v>4841619</v>
      </c>
      <c r="E35" s="65"/>
      <c r="F35" s="66"/>
    </row>
    <row r="36" spans="1:6" x14ac:dyDescent="0.25">
      <c r="A36" s="276" t="s">
        <v>780</v>
      </c>
      <c r="B36" s="168">
        <v>5717806</v>
      </c>
      <c r="E36" s="65"/>
      <c r="F36" s="66"/>
    </row>
    <row r="37" spans="1:6" x14ac:dyDescent="0.25">
      <c r="A37" s="276" t="s">
        <v>145</v>
      </c>
      <c r="B37" s="168">
        <v>7651</v>
      </c>
      <c r="E37" s="65"/>
      <c r="F37" s="66"/>
    </row>
    <row r="38" spans="1:6" x14ac:dyDescent="0.25">
      <c r="A38" s="276" t="s">
        <v>144</v>
      </c>
      <c r="B38" s="168">
        <v>15360</v>
      </c>
      <c r="E38" s="65"/>
      <c r="F38" s="66"/>
    </row>
    <row r="39" spans="1:6" x14ac:dyDescent="0.25">
      <c r="A39" s="276" t="s">
        <v>146</v>
      </c>
      <c r="B39" s="168">
        <v>4498353</v>
      </c>
      <c r="E39" s="65"/>
      <c r="F39" s="66"/>
    </row>
    <row r="40" spans="1:6" x14ac:dyDescent="0.25">
      <c r="A40" s="276" t="s">
        <v>147</v>
      </c>
      <c r="B40" s="168">
        <v>5188966</v>
      </c>
      <c r="E40" s="65"/>
      <c r="F40" s="66"/>
    </row>
    <row r="41" spans="1:6" x14ac:dyDescent="0.25">
      <c r="A41" s="276" t="s">
        <v>781</v>
      </c>
      <c r="B41" s="168">
        <v>9710330</v>
      </c>
      <c r="E41" s="65"/>
      <c r="F41" s="66"/>
    </row>
    <row r="42" spans="1:6" x14ac:dyDescent="0.25">
      <c r="A42" s="276" t="s">
        <v>782</v>
      </c>
      <c r="B42" s="168">
        <v>0</v>
      </c>
      <c r="E42" s="65"/>
      <c r="F42" s="66"/>
    </row>
    <row r="43" spans="1:6" x14ac:dyDescent="0.25">
      <c r="A43" s="276" t="s">
        <v>783</v>
      </c>
      <c r="B43" s="168">
        <v>49</v>
      </c>
      <c r="E43" s="65"/>
      <c r="F43" s="66"/>
    </row>
    <row r="44" spans="1:6" x14ac:dyDescent="0.25">
      <c r="A44" s="276" t="s">
        <v>151</v>
      </c>
      <c r="B44" s="168">
        <v>4347</v>
      </c>
      <c r="E44" s="65"/>
      <c r="F44" s="66"/>
    </row>
    <row r="45" spans="1:6" x14ac:dyDescent="0.25">
      <c r="A45" s="276" t="s">
        <v>148</v>
      </c>
      <c r="B45" s="168">
        <v>29697</v>
      </c>
      <c r="E45" s="37"/>
      <c r="F45" s="38"/>
    </row>
    <row r="46" spans="1:6" x14ac:dyDescent="0.25">
      <c r="A46" s="276" t="s">
        <v>150</v>
      </c>
      <c r="B46" s="168">
        <v>44455</v>
      </c>
    </row>
    <row r="47" spans="1:6" x14ac:dyDescent="0.25">
      <c r="A47" s="276" t="s">
        <v>149</v>
      </c>
      <c r="B47" s="168">
        <v>67508</v>
      </c>
    </row>
    <row r="48" spans="1:6" x14ac:dyDescent="0.25">
      <c r="A48" s="276" t="s">
        <v>152</v>
      </c>
      <c r="B48" s="168">
        <v>134535</v>
      </c>
    </row>
    <row r="49" spans="1:2" x14ac:dyDescent="0.25">
      <c r="A49" s="276" t="s">
        <v>153</v>
      </c>
      <c r="B49" s="168">
        <v>368597</v>
      </c>
    </row>
    <row r="50" spans="1:2" x14ac:dyDescent="0.25">
      <c r="A50" s="276" t="s">
        <v>154</v>
      </c>
      <c r="B50" s="168">
        <v>439288</v>
      </c>
    </row>
    <row r="51" spans="1:2" x14ac:dyDescent="0.25">
      <c r="A51" s="276" t="s">
        <v>155</v>
      </c>
      <c r="B51" s="168">
        <v>4029273</v>
      </c>
    </row>
    <row r="52" spans="1:2" x14ac:dyDescent="0.25">
      <c r="A52" s="276" t="s">
        <v>156</v>
      </c>
      <c r="B52" s="168">
        <v>10800879</v>
      </c>
    </row>
    <row r="53" spans="1:2" x14ac:dyDescent="0.25">
      <c r="A53" s="276" t="s">
        <v>157</v>
      </c>
      <c r="B53" s="168">
        <v>13287158</v>
      </c>
    </row>
    <row r="54" spans="1:2" x14ac:dyDescent="0.25">
      <c r="A54" s="276" t="s">
        <v>784</v>
      </c>
      <c r="B54" s="168">
        <v>29205786</v>
      </c>
    </row>
    <row r="55" spans="1:2" x14ac:dyDescent="0.25">
      <c r="A55" s="276" t="s">
        <v>785</v>
      </c>
      <c r="B55" s="168">
        <v>46151135</v>
      </c>
    </row>
    <row r="56" spans="1:2" x14ac:dyDescent="0.25">
      <c r="A56" s="306" t="s">
        <v>65</v>
      </c>
      <c r="B56" s="78" t="str">
        <f>"Região "&amp;A56&amp;" "&amp;TEXT(B55,"##.###")&amp;" passageiros"</f>
        <v>Região Sudeste 46.151.135 passageiros</v>
      </c>
    </row>
  </sheetData>
  <sortState xmlns:xlrd2="http://schemas.microsoft.com/office/spreadsheetml/2017/richdata2" ref="E26:F40">
    <sortCondition descending="1" ref="F26:F40"/>
  </sortState>
  <mergeCells count="2">
    <mergeCell ref="A3:B3"/>
    <mergeCell ref="A4:B4"/>
  </mergeCells>
  <conditionalFormatting sqref="A6:B38">
    <cfRule type="expression" dxfId="13" priority="3">
      <formula>LEFT($A6,5)="Total"</formula>
    </cfRule>
    <cfRule type="expression" dxfId="12" priority="4">
      <formula>RIGHT($A6,5)="Total"</formula>
    </cfRule>
  </conditionalFormatting>
  <conditionalFormatting sqref="A39:B55 A56">
    <cfRule type="expression" dxfId="11" priority="1">
      <formula>LEFT($A39,5)="Total"</formula>
    </cfRule>
    <cfRule type="expression" dxfId="10" priority="2">
      <formula>RIGHT($A39,5)="Total"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Plan74"/>
  <dimension ref="A1:H83"/>
  <sheetViews>
    <sheetView showGridLines="0" zoomScaleNormal="100" workbookViewId="0">
      <selection activeCell="B51" sqref="B51"/>
    </sheetView>
  </sheetViews>
  <sheetFormatPr defaultRowHeight="15" x14ac:dyDescent="0.25"/>
  <cols>
    <col min="1" max="1" width="21" bestFit="1" customWidth="1"/>
    <col min="2" max="2" width="29.7109375" customWidth="1"/>
    <col min="5" max="5" width="11.140625" customWidth="1"/>
  </cols>
  <sheetData>
    <row r="1" spans="1:8" x14ac:dyDescent="0.25">
      <c r="C1" s="78"/>
      <c r="D1" s="78"/>
      <c r="E1" s="78"/>
      <c r="F1" s="78"/>
      <c r="G1" s="78" t="s">
        <v>262</v>
      </c>
      <c r="H1" s="78" t="s">
        <v>1430</v>
      </c>
    </row>
    <row r="3" spans="1:8" x14ac:dyDescent="0.25">
      <c r="A3" s="350" t="str">
        <f>"Tabela Referente à "&amp;G1</f>
        <v>Tabela Referente à Figura 3.16</v>
      </c>
      <c r="B3" s="350"/>
    </row>
    <row r="4" spans="1:8" ht="28.5" customHeight="1" x14ac:dyDescent="0.25">
      <c r="A4" s="351" t="str">
        <f>H1</f>
        <v>Passageiros embarcados por aeroporto e unidade da federação – região Nordeste – mercado doméstico, 2018</v>
      </c>
      <c r="B4" s="351"/>
    </row>
    <row r="5" spans="1:8" x14ac:dyDescent="0.25">
      <c r="A5" s="1" t="s">
        <v>101</v>
      </c>
      <c r="B5" s="21" t="s">
        <v>829</v>
      </c>
      <c r="G5" s="44"/>
      <c r="H5" s="45"/>
    </row>
    <row r="6" spans="1:8" x14ac:dyDescent="0.25">
      <c r="A6" s="276" t="s">
        <v>416</v>
      </c>
      <c r="B6" s="168">
        <v>3313</v>
      </c>
      <c r="E6" s="35"/>
      <c r="F6" s="36"/>
      <c r="G6" s="44"/>
      <c r="H6" s="45"/>
    </row>
    <row r="7" spans="1:8" x14ac:dyDescent="0.25">
      <c r="A7" s="276" t="s">
        <v>158</v>
      </c>
      <c r="B7" s="168">
        <v>530364</v>
      </c>
      <c r="E7" s="37"/>
      <c r="F7" s="38"/>
      <c r="G7" s="44"/>
      <c r="H7" s="45"/>
    </row>
    <row r="8" spans="1:8" x14ac:dyDescent="0.25">
      <c r="A8" s="276" t="s">
        <v>787</v>
      </c>
      <c r="B8" s="168">
        <v>533677</v>
      </c>
      <c r="E8" s="35"/>
      <c r="F8" s="36"/>
      <c r="G8" s="44"/>
      <c r="H8" s="45"/>
    </row>
    <row r="9" spans="1:8" x14ac:dyDescent="0.25">
      <c r="A9" s="276" t="s">
        <v>159</v>
      </c>
      <c r="B9" s="168">
        <v>591478</v>
      </c>
      <c r="C9" s="29"/>
      <c r="E9" s="35"/>
      <c r="F9" s="36"/>
      <c r="G9" s="44"/>
      <c r="H9" s="45"/>
    </row>
    <row r="10" spans="1:8" x14ac:dyDescent="0.25">
      <c r="A10" s="276" t="s">
        <v>786</v>
      </c>
      <c r="B10" s="168">
        <v>591478</v>
      </c>
      <c r="C10" s="29"/>
      <c r="E10" s="35"/>
      <c r="F10" s="36"/>
      <c r="G10" s="44"/>
      <c r="H10" s="45"/>
    </row>
    <row r="11" spans="1:8" x14ac:dyDescent="0.25">
      <c r="A11" s="276" t="s">
        <v>160</v>
      </c>
      <c r="B11" s="168">
        <v>75932</v>
      </c>
      <c r="E11" s="35"/>
      <c r="F11" s="36"/>
      <c r="G11" s="44"/>
      <c r="H11" s="45"/>
    </row>
    <row r="12" spans="1:8" x14ac:dyDescent="0.25">
      <c r="A12" s="276" t="s">
        <v>161</v>
      </c>
      <c r="B12" s="168">
        <v>700556</v>
      </c>
      <c r="E12" s="35"/>
      <c r="F12" s="36"/>
      <c r="G12" s="44"/>
      <c r="H12" s="45"/>
    </row>
    <row r="13" spans="1:8" x14ac:dyDescent="0.25">
      <c r="A13" s="276" t="s">
        <v>788</v>
      </c>
      <c r="B13" s="168">
        <v>776488</v>
      </c>
      <c r="E13" s="35"/>
      <c r="F13" s="36"/>
      <c r="G13" s="46"/>
      <c r="H13" s="47"/>
    </row>
    <row r="14" spans="1:8" x14ac:dyDescent="0.25">
      <c r="A14" s="276" t="s">
        <v>163</v>
      </c>
      <c r="B14" s="168">
        <v>141114</v>
      </c>
      <c r="E14" s="35"/>
      <c r="F14" s="36"/>
      <c r="G14" s="44"/>
      <c r="H14" s="45"/>
    </row>
    <row r="15" spans="1:8" x14ac:dyDescent="0.25">
      <c r="A15" s="276" t="s">
        <v>164</v>
      </c>
      <c r="B15" s="168">
        <v>788158</v>
      </c>
      <c r="E15" s="35"/>
      <c r="F15" s="36"/>
      <c r="G15" s="44"/>
      <c r="H15" s="45"/>
    </row>
    <row r="16" spans="1:8" x14ac:dyDescent="0.25">
      <c r="A16" s="276" t="s">
        <v>790</v>
      </c>
      <c r="B16" s="168">
        <v>929272</v>
      </c>
      <c r="E16" s="35"/>
      <c r="F16" s="36"/>
      <c r="G16" s="44"/>
      <c r="H16" s="45"/>
    </row>
    <row r="17" spans="1:8" x14ac:dyDescent="0.25">
      <c r="A17" s="276" t="s">
        <v>162</v>
      </c>
      <c r="B17" s="168">
        <v>1068564</v>
      </c>
      <c r="E17" s="35"/>
      <c r="F17" s="36"/>
      <c r="G17" s="46"/>
      <c r="H17" s="47"/>
    </row>
    <row r="18" spans="1:8" x14ac:dyDescent="0.25">
      <c r="A18" s="276" t="s">
        <v>789</v>
      </c>
      <c r="B18" s="168">
        <v>1068564</v>
      </c>
      <c r="E18" s="35"/>
      <c r="F18" s="36"/>
      <c r="G18" s="44"/>
      <c r="H18" s="45"/>
    </row>
    <row r="19" spans="1:8" x14ac:dyDescent="0.25">
      <c r="A19" s="276" t="s">
        <v>791</v>
      </c>
      <c r="B19" s="168">
        <v>7904</v>
      </c>
      <c r="E19" s="35"/>
      <c r="F19" s="36"/>
      <c r="G19" s="44"/>
      <c r="H19" s="45"/>
    </row>
    <row r="20" spans="1:8" x14ac:dyDescent="0.25">
      <c r="A20" s="276" t="s">
        <v>400</v>
      </c>
      <c r="B20" s="168">
        <v>1150895</v>
      </c>
      <c r="E20" s="35"/>
      <c r="F20" s="36"/>
      <c r="G20" s="46"/>
      <c r="H20" s="47"/>
    </row>
    <row r="21" spans="1:8" x14ac:dyDescent="0.25">
      <c r="A21" s="276" t="s">
        <v>792</v>
      </c>
      <c r="B21" s="168">
        <v>1158799</v>
      </c>
      <c r="E21" s="35"/>
      <c r="F21" s="36"/>
      <c r="G21" s="44"/>
      <c r="H21" s="45"/>
    </row>
    <row r="22" spans="1:8" x14ac:dyDescent="0.25">
      <c r="A22" s="276" t="s">
        <v>565</v>
      </c>
      <c r="B22" s="168">
        <v>43761</v>
      </c>
      <c r="E22" s="35"/>
      <c r="F22" s="36"/>
      <c r="G22" s="44"/>
      <c r="H22" s="45"/>
    </row>
    <row r="23" spans="1:8" x14ac:dyDescent="0.25">
      <c r="A23" s="276" t="s">
        <v>165</v>
      </c>
      <c r="B23" s="168">
        <v>278570</v>
      </c>
      <c r="E23" s="37"/>
      <c r="F23" s="38"/>
      <c r="G23" s="46"/>
      <c r="H23" s="47"/>
    </row>
    <row r="24" spans="1:8" x14ac:dyDescent="0.25">
      <c r="A24" s="276" t="s">
        <v>166</v>
      </c>
      <c r="B24" s="168">
        <v>3060173</v>
      </c>
      <c r="E24" s="35"/>
      <c r="F24" s="36"/>
      <c r="G24" s="44"/>
      <c r="H24" s="45"/>
    </row>
    <row r="25" spans="1:8" x14ac:dyDescent="0.25">
      <c r="A25" s="276" t="s">
        <v>793</v>
      </c>
      <c r="B25" s="168">
        <v>3382504</v>
      </c>
      <c r="E25" s="35"/>
      <c r="F25" s="36"/>
      <c r="G25" s="46"/>
      <c r="H25" s="47"/>
    </row>
    <row r="26" spans="1:8" x14ac:dyDescent="0.25">
      <c r="A26" s="276" t="s">
        <v>794</v>
      </c>
      <c r="B26" s="168">
        <v>49</v>
      </c>
      <c r="E26" s="35"/>
      <c r="F26" s="36"/>
      <c r="G26" s="44"/>
      <c r="H26" s="45"/>
    </row>
    <row r="27" spans="1:8" x14ac:dyDescent="0.25">
      <c r="A27" s="276" t="s">
        <v>167</v>
      </c>
      <c r="B27" s="168">
        <v>126539</v>
      </c>
      <c r="E27" s="35"/>
      <c r="F27" s="36"/>
      <c r="G27" s="46"/>
      <c r="H27" s="47"/>
    </row>
    <row r="28" spans="1:8" x14ac:dyDescent="0.25">
      <c r="A28" s="276" t="s">
        <v>168</v>
      </c>
      <c r="B28" s="168">
        <v>237279</v>
      </c>
      <c r="E28" s="35"/>
      <c r="F28" s="36"/>
      <c r="G28" s="44"/>
      <c r="H28" s="45"/>
    </row>
    <row r="29" spans="1:8" x14ac:dyDescent="0.25">
      <c r="A29" s="276" t="s">
        <v>169</v>
      </c>
      <c r="B29" s="168">
        <v>3879805</v>
      </c>
      <c r="E29" s="35"/>
      <c r="F29" s="36"/>
      <c r="G29" s="46"/>
      <c r="H29" s="47"/>
    </row>
    <row r="30" spans="1:8" x14ac:dyDescent="0.25">
      <c r="A30" s="276" t="s">
        <v>795</v>
      </c>
      <c r="B30" s="168">
        <v>4243672</v>
      </c>
      <c r="E30" s="37"/>
      <c r="F30" s="38"/>
      <c r="G30" s="44"/>
      <c r="H30" s="45"/>
    </row>
    <row r="31" spans="1:8" x14ac:dyDescent="0.25">
      <c r="A31" s="276" t="s">
        <v>515</v>
      </c>
      <c r="B31" s="168">
        <v>1208</v>
      </c>
      <c r="E31" s="35"/>
      <c r="F31" s="36"/>
      <c r="G31" s="44"/>
      <c r="H31" s="45"/>
    </row>
    <row r="32" spans="1:8" x14ac:dyDescent="0.25">
      <c r="A32" s="276" t="s">
        <v>379</v>
      </c>
      <c r="B32" s="168">
        <v>4522</v>
      </c>
      <c r="E32" s="35"/>
      <c r="F32" s="36"/>
      <c r="G32" s="46"/>
      <c r="H32" s="47"/>
    </row>
    <row r="33" spans="1:8" x14ac:dyDescent="0.25">
      <c r="A33" s="276" t="s">
        <v>170</v>
      </c>
      <c r="B33" s="168">
        <v>5026</v>
      </c>
      <c r="E33" s="35"/>
      <c r="F33" s="36"/>
      <c r="G33" s="44"/>
      <c r="H33" s="45"/>
    </row>
    <row r="34" spans="1:8" x14ac:dyDescent="0.25">
      <c r="A34" s="276" t="s">
        <v>378</v>
      </c>
      <c r="B34" s="168">
        <v>5773</v>
      </c>
      <c r="E34" s="35"/>
      <c r="F34" s="36"/>
      <c r="G34" s="46"/>
      <c r="H34" s="47"/>
    </row>
    <row r="35" spans="1:8" x14ac:dyDescent="0.25">
      <c r="A35" s="276" t="s">
        <v>171</v>
      </c>
      <c r="B35" s="168">
        <v>8311</v>
      </c>
      <c r="E35" s="35"/>
      <c r="F35" s="36"/>
      <c r="G35" s="48"/>
      <c r="H35" s="49"/>
    </row>
    <row r="36" spans="1:8" x14ac:dyDescent="0.25">
      <c r="A36" s="276" t="s">
        <v>417</v>
      </c>
      <c r="B36" s="168">
        <v>15480</v>
      </c>
      <c r="E36" s="35"/>
      <c r="F36" s="36"/>
      <c r="G36" s="50"/>
      <c r="H36" s="51"/>
    </row>
    <row r="37" spans="1:8" x14ac:dyDescent="0.25">
      <c r="A37" s="276" t="s">
        <v>172</v>
      </c>
      <c r="B37" s="168">
        <v>36857</v>
      </c>
      <c r="E37" s="35"/>
      <c r="F37" s="36"/>
      <c r="G37" s="48"/>
      <c r="H37" s="49"/>
    </row>
    <row r="38" spans="1:8" x14ac:dyDescent="0.25">
      <c r="A38" s="276" t="s">
        <v>173</v>
      </c>
      <c r="B38" s="168">
        <v>100952</v>
      </c>
      <c r="E38" s="35"/>
      <c r="F38" s="36"/>
      <c r="G38" s="48"/>
      <c r="H38" s="49"/>
    </row>
    <row r="39" spans="1:8" x14ac:dyDescent="0.25">
      <c r="A39" s="276" t="s">
        <v>174</v>
      </c>
      <c r="B39" s="168">
        <v>288021</v>
      </c>
      <c r="E39" s="35"/>
      <c r="F39" s="36"/>
      <c r="G39" s="48"/>
      <c r="H39" s="49"/>
    </row>
    <row r="40" spans="1:8" x14ac:dyDescent="0.25">
      <c r="A40" s="276" t="s">
        <v>175</v>
      </c>
      <c r="B40" s="168">
        <v>837434</v>
      </c>
      <c r="E40" s="35"/>
      <c r="F40" s="36"/>
      <c r="G40" s="50"/>
      <c r="H40" s="51"/>
    </row>
    <row r="41" spans="1:8" x14ac:dyDescent="0.25">
      <c r="A41" s="276" t="s">
        <v>176</v>
      </c>
      <c r="B41" s="168">
        <v>3659952</v>
      </c>
      <c r="E41" s="35"/>
      <c r="F41" s="36"/>
      <c r="G41" s="48"/>
      <c r="H41" s="49"/>
    </row>
    <row r="42" spans="1:8" x14ac:dyDescent="0.25">
      <c r="A42" s="276" t="s">
        <v>796</v>
      </c>
      <c r="B42" s="168">
        <v>4963536</v>
      </c>
      <c r="E42" s="35"/>
      <c r="F42" s="36"/>
      <c r="G42" s="48"/>
      <c r="H42" s="49"/>
    </row>
    <row r="43" spans="1:8" x14ac:dyDescent="0.25">
      <c r="A43" s="276" t="s">
        <v>797</v>
      </c>
      <c r="B43" s="168">
        <v>17647990</v>
      </c>
      <c r="E43" s="35"/>
      <c r="F43" s="36"/>
      <c r="G43" s="48"/>
      <c r="H43" s="49"/>
    </row>
    <row r="44" spans="1:8" x14ac:dyDescent="0.25">
      <c r="A44" s="78" t="s">
        <v>67</v>
      </c>
      <c r="B44" s="78" t="str">
        <f>"Região "&amp;A44&amp;" "&amp;TEXT(B43,"##.###")&amp;" passageiros"</f>
        <v>Região Nordeste 17.647.990 passageiros</v>
      </c>
      <c r="E44" s="35"/>
      <c r="F44" s="36"/>
      <c r="G44" s="50"/>
      <c r="H44" s="51"/>
    </row>
    <row r="45" spans="1:8" x14ac:dyDescent="0.25">
      <c r="A45" s="294"/>
      <c r="B45" s="294"/>
      <c r="E45" s="37"/>
      <c r="F45" s="38"/>
      <c r="G45" s="48"/>
      <c r="H45" s="49"/>
    </row>
    <row r="46" spans="1:8" x14ac:dyDescent="0.25">
      <c r="A46" s="294"/>
      <c r="B46" s="294"/>
      <c r="G46" s="48"/>
      <c r="H46" s="49"/>
    </row>
    <row r="47" spans="1:8" x14ac:dyDescent="0.25">
      <c r="A47" s="294"/>
      <c r="B47" s="294"/>
      <c r="G47" s="48"/>
      <c r="H47" s="49"/>
    </row>
    <row r="48" spans="1:8" x14ac:dyDescent="0.25">
      <c r="A48" s="294"/>
      <c r="B48" s="294"/>
      <c r="G48" s="50"/>
      <c r="H48" s="51"/>
    </row>
    <row r="49" spans="1:8" x14ac:dyDescent="0.25">
      <c r="A49" s="294"/>
      <c r="G49" s="48"/>
      <c r="H49" s="49"/>
    </row>
    <row r="50" spans="1:8" x14ac:dyDescent="0.25">
      <c r="G50" s="48"/>
      <c r="H50" s="49"/>
    </row>
    <row r="51" spans="1:8" x14ac:dyDescent="0.25">
      <c r="G51" s="48"/>
      <c r="H51" s="49"/>
    </row>
    <row r="52" spans="1:8" x14ac:dyDescent="0.25">
      <c r="G52" s="48"/>
      <c r="H52" s="49"/>
    </row>
    <row r="53" spans="1:8" x14ac:dyDescent="0.25">
      <c r="G53" s="50"/>
      <c r="H53" s="51"/>
    </row>
    <row r="54" spans="1:8" x14ac:dyDescent="0.25">
      <c r="G54" s="48"/>
      <c r="H54" s="49"/>
    </row>
    <row r="55" spans="1:8" x14ac:dyDescent="0.25">
      <c r="G55" s="48"/>
      <c r="H55" s="49"/>
    </row>
    <row r="56" spans="1:8" x14ac:dyDescent="0.25">
      <c r="G56" s="48"/>
      <c r="H56" s="49"/>
    </row>
    <row r="57" spans="1:8" x14ac:dyDescent="0.25">
      <c r="G57" s="48"/>
      <c r="H57" s="49"/>
    </row>
    <row r="58" spans="1:8" x14ac:dyDescent="0.25">
      <c r="G58" s="48"/>
      <c r="H58" s="49"/>
    </row>
    <row r="59" spans="1:8" x14ac:dyDescent="0.25">
      <c r="G59" s="48"/>
      <c r="H59" s="49"/>
    </row>
    <row r="60" spans="1:8" x14ac:dyDescent="0.25">
      <c r="G60" s="48"/>
      <c r="H60" s="49"/>
    </row>
    <row r="61" spans="1:8" x14ac:dyDescent="0.25">
      <c r="G61" s="48"/>
      <c r="H61" s="49"/>
    </row>
    <row r="62" spans="1:8" x14ac:dyDescent="0.25">
      <c r="G62" s="48"/>
      <c r="H62" s="49"/>
    </row>
    <row r="63" spans="1:8" x14ac:dyDescent="0.25">
      <c r="G63" s="48"/>
      <c r="H63" s="49"/>
    </row>
    <row r="64" spans="1:8" x14ac:dyDescent="0.25">
      <c r="G64" s="48"/>
      <c r="H64" s="49"/>
    </row>
    <row r="65" spans="7:8" x14ac:dyDescent="0.25">
      <c r="G65" s="48"/>
      <c r="H65" s="49"/>
    </row>
    <row r="66" spans="7:8" x14ac:dyDescent="0.25">
      <c r="G66" s="48"/>
      <c r="H66" s="49"/>
    </row>
    <row r="67" spans="7:8" x14ac:dyDescent="0.25">
      <c r="G67" s="48"/>
      <c r="H67" s="49"/>
    </row>
    <row r="68" spans="7:8" x14ac:dyDescent="0.25">
      <c r="G68" s="48"/>
      <c r="H68" s="49"/>
    </row>
    <row r="69" spans="7:8" x14ac:dyDescent="0.25">
      <c r="G69" s="48"/>
      <c r="H69" s="49"/>
    </row>
    <row r="70" spans="7:8" x14ac:dyDescent="0.25">
      <c r="G70" s="50"/>
      <c r="H70" s="51"/>
    </row>
    <row r="71" spans="7:8" x14ac:dyDescent="0.25">
      <c r="G71" s="48"/>
      <c r="H71" s="49"/>
    </row>
    <row r="72" spans="7:8" x14ac:dyDescent="0.25">
      <c r="G72" s="48"/>
      <c r="H72" s="49"/>
    </row>
    <row r="73" spans="7:8" x14ac:dyDescent="0.25">
      <c r="G73" s="48"/>
      <c r="H73" s="49"/>
    </row>
    <row r="74" spans="7:8" x14ac:dyDescent="0.25">
      <c r="G74" s="48"/>
      <c r="H74" s="49"/>
    </row>
    <row r="75" spans="7:8" x14ac:dyDescent="0.25">
      <c r="G75" s="48"/>
      <c r="H75" s="49"/>
    </row>
    <row r="76" spans="7:8" x14ac:dyDescent="0.25">
      <c r="G76" s="48"/>
      <c r="H76" s="49"/>
    </row>
    <row r="77" spans="7:8" x14ac:dyDescent="0.25">
      <c r="G77" s="48"/>
      <c r="H77" s="49"/>
    </row>
    <row r="78" spans="7:8" x14ac:dyDescent="0.25">
      <c r="G78" s="48"/>
      <c r="H78" s="49"/>
    </row>
    <row r="79" spans="7:8" x14ac:dyDescent="0.25">
      <c r="G79" s="48"/>
      <c r="H79" s="49"/>
    </row>
    <row r="80" spans="7:8" x14ac:dyDescent="0.25">
      <c r="G80" s="48"/>
      <c r="H80" s="49"/>
    </row>
    <row r="81" spans="7:8" x14ac:dyDescent="0.25">
      <c r="G81" s="48"/>
      <c r="H81" s="49"/>
    </row>
    <row r="82" spans="7:8" x14ac:dyDescent="0.25">
      <c r="G82" s="48"/>
      <c r="H82" s="49"/>
    </row>
    <row r="83" spans="7:8" x14ac:dyDescent="0.25">
      <c r="G83" s="50"/>
      <c r="H83" s="51"/>
    </row>
  </sheetData>
  <mergeCells count="2">
    <mergeCell ref="A3:B3"/>
    <mergeCell ref="A4:B4"/>
  </mergeCells>
  <conditionalFormatting sqref="A6:B43 A45:B47">
    <cfRule type="expression" dxfId="9" priority="1">
      <formula>LEFT($A6,5)="Total"</formula>
    </cfRule>
    <cfRule type="expression" dxfId="8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Plan75"/>
  <dimension ref="A1:H36"/>
  <sheetViews>
    <sheetView showGridLines="0" workbookViewId="0">
      <selection activeCell="B51" sqref="B51"/>
    </sheetView>
  </sheetViews>
  <sheetFormatPr defaultRowHeight="15" x14ac:dyDescent="0.25"/>
  <cols>
    <col min="1" max="1" width="26.28515625" bestFit="1" customWidth="1"/>
    <col min="2" max="2" width="37.85546875" customWidth="1"/>
    <col min="5" max="5" width="11.140625" customWidth="1"/>
    <col min="6" max="6" width="11.85546875" bestFit="1" customWidth="1"/>
    <col min="7" max="7" width="10.5703125" bestFit="1" customWidth="1"/>
  </cols>
  <sheetData>
    <row r="1" spans="1:8" x14ac:dyDescent="0.25">
      <c r="C1" s="78"/>
      <c r="D1" s="78"/>
      <c r="E1" s="78"/>
      <c r="F1" s="78"/>
      <c r="G1" s="78" t="s">
        <v>263</v>
      </c>
      <c r="H1" s="78" t="s">
        <v>1228</v>
      </c>
    </row>
    <row r="3" spans="1:8" x14ac:dyDescent="0.25">
      <c r="A3" s="350" t="str">
        <f>"Tabela Referente à "&amp;G1</f>
        <v>Tabela Referente à Figura 3.17</v>
      </c>
      <c r="B3" s="350"/>
    </row>
    <row r="4" spans="1:8" ht="33" customHeight="1" x14ac:dyDescent="0.25">
      <c r="A4" s="352" t="str">
        <f>H1</f>
        <v>Passageiros embarcados por aeroporto e unidade da federação – região Centro-Oeste – mercado doméstico, 2018</v>
      </c>
      <c r="B4" s="352"/>
    </row>
    <row r="5" spans="1:8" x14ac:dyDescent="0.25">
      <c r="A5" s="1" t="s">
        <v>101</v>
      </c>
      <c r="B5" s="21" t="s">
        <v>829</v>
      </c>
      <c r="F5" s="38"/>
      <c r="G5" s="8"/>
    </row>
    <row r="6" spans="1:8" x14ac:dyDescent="0.25">
      <c r="A6" s="276" t="s">
        <v>802</v>
      </c>
      <c r="B6" s="168">
        <v>9</v>
      </c>
      <c r="E6" s="35"/>
      <c r="F6" s="54"/>
      <c r="G6" s="55"/>
    </row>
    <row r="7" spans="1:8" x14ac:dyDescent="0.25">
      <c r="A7" s="276" t="s">
        <v>177</v>
      </c>
      <c r="B7" s="168">
        <v>7404</v>
      </c>
      <c r="C7" s="29"/>
      <c r="E7" s="35"/>
      <c r="F7" s="54"/>
      <c r="G7" s="55"/>
    </row>
    <row r="8" spans="1:8" x14ac:dyDescent="0.25">
      <c r="A8" s="276" t="s">
        <v>179</v>
      </c>
      <c r="B8" s="168">
        <v>14071</v>
      </c>
      <c r="C8" s="29"/>
      <c r="E8" s="35"/>
      <c r="F8" s="54"/>
      <c r="G8" s="55"/>
    </row>
    <row r="9" spans="1:8" x14ac:dyDescent="0.25">
      <c r="A9" s="276" t="s">
        <v>418</v>
      </c>
      <c r="B9" s="168">
        <v>18009</v>
      </c>
      <c r="E9" s="35"/>
      <c r="F9" s="54"/>
      <c r="G9" s="55"/>
    </row>
    <row r="10" spans="1:8" x14ac:dyDescent="0.25">
      <c r="A10" s="276" t="s">
        <v>178</v>
      </c>
      <c r="B10" s="168">
        <v>30500</v>
      </c>
      <c r="E10" s="35"/>
      <c r="F10" s="54"/>
      <c r="G10" s="55"/>
    </row>
    <row r="11" spans="1:8" x14ac:dyDescent="0.25">
      <c r="A11" s="276" t="s">
        <v>180</v>
      </c>
      <c r="B11" s="168">
        <v>775384</v>
      </c>
      <c r="E11" s="35"/>
      <c r="F11" s="54"/>
      <c r="G11" s="55"/>
    </row>
    <row r="12" spans="1:8" x14ac:dyDescent="0.25">
      <c r="A12" s="276" t="s">
        <v>803</v>
      </c>
      <c r="B12" s="168">
        <v>845377</v>
      </c>
      <c r="E12" s="35"/>
      <c r="F12" s="54"/>
      <c r="G12" s="55"/>
    </row>
    <row r="13" spans="1:8" x14ac:dyDescent="0.25">
      <c r="A13" s="276" t="s">
        <v>184</v>
      </c>
      <c r="B13" s="168">
        <v>15888</v>
      </c>
      <c r="E13" s="35"/>
      <c r="F13" s="54"/>
      <c r="G13" s="55"/>
    </row>
    <row r="14" spans="1:8" x14ac:dyDescent="0.25">
      <c r="A14" s="276" t="s">
        <v>185</v>
      </c>
      <c r="B14" s="168">
        <v>67748</v>
      </c>
      <c r="E14" s="35"/>
      <c r="F14" s="54"/>
      <c r="G14" s="55"/>
    </row>
    <row r="15" spans="1:8" x14ac:dyDescent="0.25">
      <c r="A15" s="276" t="s">
        <v>186</v>
      </c>
      <c r="B15" s="168">
        <v>1536586</v>
      </c>
      <c r="E15" s="35"/>
      <c r="F15" s="56"/>
      <c r="G15" s="57"/>
    </row>
    <row r="16" spans="1:8" x14ac:dyDescent="0.25">
      <c r="A16" s="276" t="s">
        <v>805</v>
      </c>
      <c r="B16" s="168">
        <v>1620222</v>
      </c>
      <c r="E16" s="35"/>
      <c r="F16" s="54"/>
      <c r="G16" s="55"/>
    </row>
    <row r="17" spans="1:7" x14ac:dyDescent="0.25">
      <c r="A17" s="276" t="s">
        <v>518</v>
      </c>
      <c r="B17" s="168">
        <v>7868</v>
      </c>
      <c r="E17" s="35"/>
      <c r="F17" s="54"/>
      <c r="G17" s="55"/>
    </row>
    <row r="18" spans="1:7" x14ac:dyDescent="0.25">
      <c r="A18" s="276" t="s">
        <v>519</v>
      </c>
      <c r="B18" s="168">
        <v>21736</v>
      </c>
      <c r="E18" s="35"/>
      <c r="F18" s="54"/>
      <c r="G18" s="55"/>
    </row>
    <row r="19" spans="1:7" x14ac:dyDescent="0.25">
      <c r="A19" s="276" t="s">
        <v>457</v>
      </c>
      <c r="B19" s="168">
        <v>21891</v>
      </c>
      <c r="E19" s="35"/>
      <c r="F19" s="54"/>
      <c r="G19" s="55"/>
    </row>
    <row r="20" spans="1:7" x14ac:dyDescent="0.25">
      <c r="A20" s="276" t="s">
        <v>181</v>
      </c>
      <c r="B20" s="168">
        <v>30887</v>
      </c>
      <c r="E20" s="35"/>
      <c r="F20" s="56"/>
      <c r="G20" s="57"/>
    </row>
    <row r="21" spans="1:7" x14ac:dyDescent="0.25">
      <c r="A21" s="276" t="s">
        <v>182</v>
      </c>
      <c r="B21" s="168">
        <v>64362</v>
      </c>
      <c r="E21" s="37"/>
      <c r="F21" s="54"/>
      <c r="G21" s="55"/>
    </row>
    <row r="22" spans="1:7" x14ac:dyDescent="0.25">
      <c r="A22" s="276" t="s">
        <v>183</v>
      </c>
      <c r="B22" s="168">
        <v>1490947</v>
      </c>
      <c r="E22" s="35"/>
      <c r="F22" s="54"/>
      <c r="G22" s="55"/>
    </row>
    <row r="23" spans="1:7" x14ac:dyDescent="0.25">
      <c r="A23" s="276" t="s">
        <v>804</v>
      </c>
      <c r="B23" s="168">
        <v>1637691</v>
      </c>
      <c r="E23" s="35"/>
      <c r="F23" s="54"/>
      <c r="G23" s="55"/>
    </row>
    <row r="24" spans="1:7" x14ac:dyDescent="0.25">
      <c r="A24" s="276" t="s">
        <v>187</v>
      </c>
      <c r="B24" s="168">
        <v>8509519</v>
      </c>
      <c r="E24" s="35"/>
      <c r="F24" s="54"/>
      <c r="G24" s="55"/>
    </row>
    <row r="25" spans="1:7" x14ac:dyDescent="0.25">
      <c r="A25" s="276" t="s">
        <v>806</v>
      </c>
      <c r="B25" s="168">
        <v>8509519</v>
      </c>
      <c r="E25" s="35"/>
      <c r="F25" s="54"/>
      <c r="G25" s="55"/>
    </row>
    <row r="26" spans="1:7" x14ac:dyDescent="0.25">
      <c r="A26" s="276" t="s">
        <v>807</v>
      </c>
      <c r="B26" s="168">
        <v>12612809</v>
      </c>
      <c r="E26" s="35"/>
      <c r="F26" s="56"/>
      <c r="G26" s="57"/>
    </row>
    <row r="27" spans="1:7" x14ac:dyDescent="0.25">
      <c r="A27" s="78" t="s">
        <v>69</v>
      </c>
      <c r="B27" s="78" t="str">
        <f>"Região "&amp;A27&amp;"
"&amp;TEXT(B26,"##.###")&amp;" passageiros"</f>
        <v>Região Centro-Oeste
12.612.809 passageiros</v>
      </c>
      <c r="E27" s="35"/>
      <c r="F27" s="36"/>
    </row>
    <row r="28" spans="1:7" x14ac:dyDescent="0.25">
      <c r="E28" s="35"/>
      <c r="F28" s="36"/>
    </row>
    <row r="29" spans="1:7" x14ac:dyDescent="0.25">
      <c r="E29" s="35"/>
      <c r="F29" s="36"/>
    </row>
    <row r="30" spans="1:7" x14ac:dyDescent="0.25">
      <c r="E30" s="35"/>
      <c r="F30" s="36"/>
    </row>
    <row r="31" spans="1:7" x14ac:dyDescent="0.25">
      <c r="E31" s="35"/>
      <c r="F31" s="36"/>
    </row>
    <row r="32" spans="1:7" x14ac:dyDescent="0.25">
      <c r="E32" s="35"/>
      <c r="F32" s="36"/>
    </row>
    <row r="33" spans="5:6" x14ac:dyDescent="0.25">
      <c r="E33" s="35"/>
      <c r="F33" s="36"/>
    </row>
    <row r="34" spans="5:6" x14ac:dyDescent="0.25">
      <c r="E34" s="35"/>
      <c r="F34" s="36"/>
    </row>
    <row r="35" spans="5:6" x14ac:dyDescent="0.25">
      <c r="E35" s="35"/>
      <c r="F35" s="36"/>
    </row>
    <row r="36" spans="5:6" x14ac:dyDescent="0.25">
      <c r="E36" s="37"/>
      <c r="F36" s="38"/>
    </row>
  </sheetData>
  <mergeCells count="2">
    <mergeCell ref="A3:B3"/>
    <mergeCell ref="A4:B4"/>
  </mergeCells>
  <conditionalFormatting sqref="A6:B25">
    <cfRule type="expression" dxfId="7" priority="3">
      <formula>LEFT($A6,5)="Total"</formula>
    </cfRule>
    <cfRule type="expression" dxfId="6" priority="4">
      <formula>RIGHT($A6,5)="Total"</formula>
    </cfRule>
  </conditionalFormatting>
  <conditionalFormatting sqref="A26:B26">
    <cfRule type="expression" dxfId="5" priority="1">
      <formula>LEFT($A26,5)="Total"</formula>
    </cfRule>
    <cfRule type="expression" dxfId="4" priority="2">
      <formula>RIGHT($A26,5)="Total"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Plan76"/>
  <dimension ref="A1:H43"/>
  <sheetViews>
    <sheetView showGridLines="0" workbookViewId="0">
      <selection activeCell="B51" sqref="B51"/>
    </sheetView>
  </sheetViews>
  <sheetFormatPr defaultRowHeight="15" x14ac:dyDescent="0.25"/>
  <cols>
    <col min="1" max="1" width="21" bestFit="1" customWidth="1"/>
    <col min="2" max="2" width="36.7109375" bestFit="1" customWidth="1"/>
    <col min="5" max="5" width="11.140625" customWidth="1"/>
    <col min="6" max="6" width="11.85546875" bestFit="1" customWidth="1"/>
    <col min="7" max="7" width="10.5703125" bestFit="1" customWidth="1"/>
  </cols>
  <sheetData>
    <row r="1" spans="1:8" x14ac:dyDescent="0.25">
      <c r="C1" s="78"/>
      <c r="D1" s="78"/>
      <c r="E1" s="78"/>
      <c r="F1" s="78"/>
      <c r="G1" s="78" t="s">
        <v>264</v>
      </c>
      <c r="H1" s="78" t="s">
        <v>1229</v>
      </c>
    </row>
    <row r="3" spans="1:8" x14ac:dyDescent="0.25">
      <c r="A3" s="350" t="str">
        <f>"Tabela Referente à "&amp;G1</f>
        <v>Tabela Referente à Figura 3.18</v>
      </c>
      <c r="B3" s="350"/>
    </row>
    <row r="4" spans="1:8" ht="31.5" customHeight="1" x14ac:dyDescent="0.25">
      <c r="A4" s="352" t="str">
        <f>H1</f>
        <v>Passageiros embarcados por aeroporto e unidade da federação – Região Sul – mercado doméstico, 2018</v>
      </c>
      <c r="B4" s="352"/>
    </row>
    <row r="5" spans="1:8" x14ac:dyDescent="0.25">
      <c r="A5" s="1" t="s">
        <v>101</v>
      </c>
      <c r="B5" s="21" t="s">
        <v>829</v>
      </c>
      <c r="F5" s="38"/>
      <c r="G5" s="8"/>
    </row>
    <row r="6" spans="1:8" x14ac:dyDescent="0.25">
      <c r="A6" s="276" t="s">
        <v>516</v>
      </c>
      <c r="B6" s="168">
        <v>11510</v>
      </c>
      <c r="E6" s="35"/>
      <c r="F6" s="36"/>
      <c r="G6" s="8"/>
    </row>
    <row r="7" spans="1:8" x14ac:dyDescent="0.25">
      <c r="A7" s="276" t="s">
        <v>451</v>
      </c>
      <c r="B7" s="168">
        <v>66855</v>
      </c>
      <c r="E7" s="37"/>
      <c r="F7" s="36"/>
      <c r="G7" s="8"/>
    </row>
    <row r="8" spans="1:8" x14ac:dyDescent="0.25">
      <c r="A8" s="276" t="s">
        <v>188</v>
      </c>
      <c r="B8" s="168">
        <v>237155</v>
      </c>
      <c r="E8" s="35"/>
      <c r="F8" s="36"/>
      <c r="G8" s="8"/>
    </row>
    <row r="9" spans="1:8" x14ac:dyDescent="0.25">
      <c r="A9" s="276" t="s">
        <v>189</v>
      </c>
      <c r="B9" s="168">
        <v>239432</v>
      </c>
      <c r="C9" s="29"/>
      <c r="E9" s="35"/>
      <c r="F9" s="36"/>
      <c r="G9" s="8"/>
    </row>
    <row r="10" spans="1:8" x14ac:dyDescent="0.25">
      <c r="A10" s="276" t="s">
        <v>190</v>
      </c>
      <c r="B10" s="168">
        <v>898399</v>
      </c>
      <c r="C10" s="29"/>
      <c r="E10" s="35"/>
      <c r="F10" s="36"/>
      <c r="G10" s="8"/>
    </row>
    <row r="11" spans="1:8" x14ac:dyDescent="0.25">
      <c r="A11" s="276" t="s">
        <v>191</v>
      </c>
      <c r="B11" s="168">
        <v>1709151</v>
      </c>
      <c r="C11" s="29"/>
      <c r="E11" s="35"/>
      <c r="F11" s="36"/>
      <c r="G11" s="8"/>
    </row>
    <row r="12" spans="1:8" x14ac:dyDescent="0.25">
      <c r="A12" s="276" t="s">
        <v>798</v>
      </c>
      <c r="B12" s="168">
        <v>3162502</v>
      </c>
      <c r="E12" s="35"/>
      <c r="F12" s="36"/>
      <c r="G12" s="8"/>
    </row>
    <row r="13" spans="1:8" x14ac:dyDescent="0.25">
      <c r="A13" s="276" t="s">
        <v>452</v>
      </c>
      <c r="B13" s="168">
        <v>10426</v>
      </c>
      <c r="E13" s="35"/>
      <c r="F13" s="36"/>
      <c r="G13" s="8"/>
    </row>
    <row r="14" spans="1:8" x14ac:dyDescent="0.25">
      <c r="A14" s="276" t="s">
        <v>566</v>
      </c>
      <c r="B14" s="168">
        <v>10954</v>
      </c>
      <c r="E14" s="35"/>
      <c r="F14" s="36"/>
      <c r="G14" s="8"/>
    </row>
    <row r="15" spans="1:8" x14ac:dyDescent="0.25">
      <c r="A15" s="276" t="s">
        <v>192</v>
      </c>
      <c r="B15" s="168">
        <v>14889</v>
      </c>
      <c r="E15" s="35"/>
      <c r="F15" s="36"/>
      <c r="G15" s="8"/>
    </row>
    <row r="16" spans="1:8" x14ac:dyDescent="0.25">
      <c r="A16" s="276" t="s">
        <v>193</v>
      </c>
      <c r="B16" s="168">
        <v>15835</v>
      </c>
      <c r="E16" s="35"/>
      <c r="F16" s="36"/>
      <c r="G16" s="8"/>
    </row>
    <row r="17" spans="1:7" x14ac:dyDescent="0.25">
      <c r="A17" s="276" t="s">
        <v>194</v>
      </c>
      <c r="B17" s="168">
        <v>59677</v>
      </c>
      <c r="E17" s="35"/>
      <c r="F17" s="38"/>
      <c r="G17" s="8"/>
    </row>
    <row r="18" spans="1:7" x14ac:dyDescent="0.25">
      <c r="A18" s="276" t="s">
        <v>195</v>
      </c>
      <c r="B18" s="168">
        <v>89052</v>
      </c>
      <c r="E18" s="35"/>
      <c r="F18" s="36"/>
      <c r="G18" s="8"/>
    </row>
    <row r="19" spans="1:7" x14ac:dyDescent="0.25">
      <c r="A19" s="276" t="s">
        <v>196</v>
      </c>
      <c r="B19" s="168">
        <v>3797970</v>
      </c>
      <c r="E19" s="35"/>
      <c r="F19" s="36"/>
      <c r="G19" s="8"/>
    </row>
    <row r="20" spans="1:7" x14ac:dyDescent="0.25">
      <c r="A20" s="276" t="s">
        <v>799</v>
      </c>
      <c r="B20" s="168">
        <v>3998803</v>
      </c>
      <c r="E20" s="35"/>
      <c r="F20" s="36"/>
      <c r="G20" s="8"/>
    </row>
    <row r="21" spans="1:7" x14ac:dyDescent="0.25">
      <c r="A21" s="276" t="s">
        <v>517</v>
      </c>
      <c r="B21" s="168">
        <v>7835</v>
      </c>
      <c r="E21" s="35"/>
      <c r="F21" s="36"/>
      <c r="G21" s="8"/>
    </row>
    <row r="22" spans="1:7" x14ac:dyDescent="0.25">
      <c r="A22" s="276" t="s">
        <v>197</v>
      </c>
      <c r="B22" s="168">
        <v>69482</v>
      </c>
      <c r="E22" s="35"/>
      <c r="F22" s="36"/>
      <c r="G22" s="8"/>
    </row>
    <row r="23" spans="1:7" x14ac:dyDescent="0.25">
      <c r="A23" s="276" t="s">
        <v>198</v>
      </c>
      <c r="B23" s="168">
        <v>311152</v>
      </c>
      <c r="E23" s="35"/>
      <c r="F23" s="36"/>
      <c r="G23" s="8"/>
    </row>
    <row r="24" spans="1:7" x14ac:dyDescent="0.25">
      <c r="A24" s="276" t="s">
        <v>199</v>
      </c>
      <c r="B24" s="168">
        <v>479868</v>
      </c>
      <c r="E24" s="37"/>
      <c r="F24" s="36"/>
      <c r="G24" s="8"/>
    </row>
    <row r="25" spans="1:7" x14ac:dyDescent="0.25">
      <c r="A25" s="276" t="s">
        <v>200</v>
      </c>
      <c r="B25" s="168">
        <v>1089776</v>
      </c>
      <c r="E25" s="35"/>
      <c r="F25" s="36"/>
      <c r="G25" s="8"/>
    </row>
    <row r="26" spans="1:7" x14ac:dyDescent="0.25">
      <c r="A26" s="276" t="s">
        <v>201</v>
      </c>
      <c r="B26" s="168">
        <v>3053780</v>
      </c>
      <c r="E26" s="35"/>
      <c r="F26" s="36"/>
      <c r="G26" s="8"/>
    </row>
    <row r="27" spans="1:7" x14ac:dyDescent="0.25">
      <c r="A27" s="276" t="s">
        <v>800</v>
      </c>
      <c r="B27" s="168">
        <v>5011893</v>
      </c>
      <c r="E27" s="35"/>
      <c r="F27" s="36"/>
      <c r="G27" s="8"/>
    </row>
    <row r="28" spans="1:7" x14ac:dyDescent="0.25">
      <c r="A28" s="276" t="s">
        <v>801</v>
      </c>
      <c r="B28" s="168">
        <v>12173198</v>
      </c>
      <c r="E28" s="35"/>
      <c r="F28" s="36"/>
      <c r="G28" s="8"/>
    </row>
    <row r="29" spans="1:7" x14ac:dyDescent="0.25">
      <c r="A29" s="78" t="s">
        <v>68</v>
      </c>
      <c r="B29" s="78" t="str">
        <f>"Região "&amp;A29&amp;" "&amp;TEXT(B28,"##.###")&amp;" passageiros"</f>
        <v>Região Sul 12.173.198 passageiros</v>
      </c>
      <c r="E29" s="35"/>
      <c r="F29" s="38"/>
      <c r="G29" s="8"/>
    </row>
    <row r="30" spans="1:7" x14ac:dyDescent="0.25">
      <c r="E30" s="35"/>
      <c r="F30" s="36"/>
      <c r="G30" s="8"/>
    </row>
    <row r="31" spans="1:7" x14ac:dyDescent="0.25">
      <c r="E31" s="37"/>
      <c r="G31" s="8"/>
    </row>
    <row r="32" spans="1:7" x14ac:dyDescent="0.25">
      <c r="E32" s="35"/>
      <c r="F32" s="36"/>
      <c r="G32" s="8"/>
    </row>
    <row r="33" spans="5:6" x14ac:dyDescent="0.25">
      <c r="E33" s="35"/>
      <c r="F33" s="36"/>
    </row>
    <row r="34" spans="5:6" x14ac:dyDescent="0.25">
      <c r="E34" s="35"/>
      <c r="F34" s="36"/>
    </row>
    <row r="35" spans="5:6" x14ac:dyDescent="0.25">
      <c r="E35" s="35"/>
      <c r="F35" s="36"/>
    </row>
    <row r="36" spans="5:6" x14ac:dyDescent="0.25">
      <c r="E36" s="35"/>
      <c r="F36" s="36"/>
    </row>
    <row r="37" spans="5:6" x14ac:dyDescent="0.25">
      <c r="E37" s="35"/>
      <c r="F37" s="36"/>
    </row>
    <row r="38" spans="5:6" x14ac:dyDescent="0.25">
      <c r="E38" s="35"/>
      <c r="F38" s="36"/>
    </row>
    <row r="39" spans="5:6" x14ac:dyDescent="0.25">
      <c r="E39" s="35"/>
      <c r="F39" s="36"/>
    </row>
    <row r="40" spans="5:6" x14ac:dyDescent="0.25">
      <c r="E40" s="35"/>
      <c r="F40" s="36"/>
    </row>
    <row r="41" spans="5:6" x14ac:dyDescent="0.25">
      <c r="E41" s="35"/>
      <c r="F41" s="36"/>
    </row>
    <row r="42" spans="5:6" x14ac:dyDescent="0.25">
      <c r="E42" s="35"/>
      <c r="F42" s="36"/>
    </row>
    <row r="43" spans="5:6" x14ac:dyDescent="0.25">
      <c r="E43" s="37"/>
      <c r="F43" s="38"/>
    </row>
  </sheetData>
  <mergeCells count="2">
    <mergeCell ref="A3:B3"/>
    <mergeCell ref="A4:B4"/>
  </mergeCells>
  <conditionalFormatting sqref="A6:B28">
    <cfRule type="expression" dxfId="3" priority="1">
      <formula>LEFT($A6,5)="Total"</formula>
    </cfRule>
    <cfRule type="expression" dxfId="2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Plan77"/>
  <dimension ref="A1:H47"/>
  <sheetViews>
    <sheetView showGridLines="0" topLeftCell="A16" workbookViewId="0">
      <selection activeCell="B51" sqref="B51"/>
    </sheetView>
  </sheetViews>
  <sheetFormatPr defaultRowHeight="15" x14ac:dyDescent="0.25"/>
  <cols>
    <col min="1" max="1" width="21" bestFit="1" customWidth="1"/>
    <col min="2" max="2" width="34.5703125" customWidth="1"/>
    <col min="5" max="5" width="15.85546875" bestFit="1" customWidth="1"/>
    <col min="6" max="6" width="11.5703125" bestFit="1" customWidth="1"/>
  </cols>
  <sheetData>
    <row r="1" spans="1:8" x14ac:dyDescent="0.25">
      <c r="C1" s="78"/>
      <c r="D1" s="78"/>
      <c r="E1" s="78"/>
      <c r="F1" s="78"/>
      <c r="G1" s="78" t="s">
        <v>265</v>
      </c>
      <c r="H1" s="78" t="s">
        <v>1230</v>
      </c>
    </row>
    <row r="3" spans="1:8" x14ac:dyDescent="0.25">
      <c r="A3" s="350" t="str">
        <f>"Tabela Referente à "&amp;G1</f>
        <v>Tabela Referente à Figura 3.19</v>
      </c>
      <c r="B3" s="350"/>
    </row>
    <row r="4" spans="1:8" ht="29.25" customHeight="1" x14ac:dyDescent="0.25">
      <c r="A4" s="351" t="str">
        <f>H1</f>
        <v>Passageiros embarcados por aeroporto e unidade da federação – região Norte – mercado doméstico, 2018</v>
      </c>
      <c r="B4" s="351"/>
    </row>
    <row r="5" spans="1:8" x14ac:dyDescent="0.25">
      <c r="A5" s="1" t="s">
        <v>101</v>
      </c>
      <c r="B5" s="21" t="s">
        <v>829</v>
      </c>
    </row>
    <row r="6" spans="1:8" x14ac:dyDescent="0.25">
      <c r="A6" s="276" t="s">
        <v>203</v>
      </c>
      <c r="B6" s="168">
        <v>35002</v>
      </c>
    </row>
    <row r="7" spans="1:8" x14ac:dyDescent="0.25">
      <c r="A7" s="276" t="s">
        <v>204</v>
      </c>
      <c r="B7" s="168">
        <v>179090</v>
      </c>
    </row>
    <row r="8" spans="1:8" x14ac:dyDescent="0.25">
      <c r="A8" s="276" t="s">
        <v>809</v>
      </c>
      <c r="B8" s="168">
        <v>214092</v>
      </c>
    </row>
    <row r="9" spans="1:8" x14ac:dyDescent="0.25">
      <c r="A9" s="276" t="s">
        <v>222</v>
      </c>
      <c r="B9" s="168">
        <v>1336694</v>
      </c>
      <c r="C9" s="29"/>
    </row>
    <row r="10" spans="1:8" x14ac:dyDescent="0.25">
      <c r="A10" s="276" t="s">
        <v>813</v>
      </c>
      <c r="B10" s="168">
        <v>137</v>
      </c>
      <c r="C10" s="29"/>
    </row>
    <row r="11" spans="1:8" x14ac:dyDescent="0.25">
      <c r="A11" s="276" t="s">
        <v>220</v>
      </c>
      <c r="B11" s="168">
        <v>14354</v>
      </c>
    </row>
    <row r="12" spans="1:8" x14ac:dyDescent="0.25">
      <c r="A12" s="276" t="s">
        <v>218</v>
      </c>
      <c r="B12" s="168">
        <v>26208</v>
      </c>
    </row>
    <row r="13" spans="1:8" x14ac:dyDescent="0.25">
      <c r="A13" s="276" t="s">
        <v>216</v>
      </c>
      <c r="B13" s="168">
        <v>4973</v>
      </c>
    </row>
    <row r="14" spans="1:8" x14ac:dyDescent="0.25">
      <c r="A14" s="276" t="s">
        <v>221</v>
      </c>
      <c r="B14" s="168">
        <v>31789</v>
      </c>
    </row>
    <row r="15" spans="1:8" x14ac:dyDescent="0.25">
      <c r="A15" s="276" t="s">
        <v>212</v>
      </c>
      <c r="B15" s="168">
        <v>1645</v>
      </c>
    </row>
    <row r="16" spans="1:8" x14ac:dyDescent="0.25">
      <c r="A16" s="276" t="s">
        <v>213</v>
      </c>
      <c r="B16" s="168">
        <v>9440</v>
      </c>
    </row>
    <row r="17" spans="1:2" x14ac:dyDescent="0.25">
      <c r="A17" s="276" t="s">
        <v>215</v>
      </c>
      <c r="B17" s="168">
        <v>4709</v>
      </c>
    </row>
    <row r="18" spans="1:2" x14ac:dyDescent="0.25">
      <c r="A18" s="276" t="s">
        <v>217</v>
      </c>
      <c r="B18" s="168">
        <v>2101</v>
      </c>
    </row>
    <row r="19" spans="1:2" x14ac:dyDescent="0.25">
      <c r="A19" s="276" t="s">
        <v>214</v>
      </c>
      <c r="B19" s="168">
        <v>1379</v>
      </c>
    </row>
    <row r="20" spans="1:2" x14ac:dyDescent="0.25">
      <c r="A20" s="276" t="s">
        <v>219</v>
      </c>
      <c r="B20" s="168">
        <v>17243</v>
      </c>
    </row>
    <row r="21" spans="1:2" x14ac:dyDescent="0.25">
      <c r="A21" s="276" t="s">
        <v>814</v>
      </c>
      <c r="B21" s="168">
        <v>1450672</v>
      </c>
    </row>
    <row r="22" spans="1:2" x14ac:dyDescent="0.25">
      <c r="A22" s="276" t="s">
        <v>205</v>
      </c>
      <c r="B22" s="168">
        <v>276433</v>
      </c>
    </row>
    <row r="23" spans="1:2" x14ac:dyDescent="0.25">
      <c r="A23" s="276" t="s">
        <v>810</v>
      </c>
      <c r="B23" s="168">
        <v>276433</v>
      </c>
    </row>
    <row r="24" spans="1:2" x14ac:dyDescent="0.25">
      <c r="A24" s="276" t="s">
        <v>229</v>
      </c>
      <c r="B24" s="168">
        <v>1648088</v>
      </c>
    </row>
    <row r="25" spans="1:2" x14ac:dyDescent="0.25">
      <c r="A25" s="276" t="s">
        <v>225</v>
      </c>
      <c r="B25" s="168">
        <v>54154</v>
      </c>
    </row>
    <row r="26" spans="1:2" x14ac:dyDescent="0.25">
      <c r="A26" s="276" t="s">
        <v>226</v>
      </c>
      <c r="B26" s="168">
        <v>48165</v>
      </c>
    </row>
    <row r="27" spans="1:2" x14ac:dyDescent="0.25">
      <c r="A27" s="276" t="s">
        <v>224</v>
      </c>
      <c r="B27" s="168">
        <v>9433</v>
      </c>
    </row>
    <row r="28" spans="1:2" x14ac:dyDescent="0.25">
      <c r="A28" s="276" t="s">
        <v>227</v>
      </c>
      <c r="B28" s="168">
        <v>134906</v>
      </c>
    </row>
    <row r="29" spans="1:2" x14ac:dyDescent="0.25">
      <c r="A29" s="276" t="s">
        <v>228</v>
      </c>
      <c r="B29" s="168">
        <v>230444</v>
      </c>
    </row>
    <row r="30" spans="1:2" x14ac:dyDescent="0.25">
      <c r="A30" s="276" t="s">
        <v>223</v>
      </c>
      <c r="B30" s="168">
        <v>5271</v>
      </c>
    </row>
    <row r="31" spans="1:2" x14ac:dyDescent="0.25">
      <c r="A31" s="276" t="s">
        <v>815</v>
      </c>
      <c r="B31" s="168">
        <v>2130461</v>
      </c>
    </row>
    <row r="32" spans="1:2" x14ac:dyDescent="0.25">
      <c r="A32" s="276" t="s">
        <v>210</v>
      </c>
      <c r="B32" s="168">
        <v>31756</v>
      </c>
    </row>
    <row r="33" spans="1:2" x14ac:dyDescent="0.25">
      <c r="A33" s="276" t="s">
        <v>211</v>
      </c>
      <c r="B33" s="168">
        <v>400727</v>
      </c>
    </row>
    <row r="34" spans="1:2" x14ac:dyDescent="0.25">
      <c r="A34" s="276" t="s">
        <v>208</v>
      </c>
      <c r="B34" s="168">
        <v>19458</v>
      </c>
    </row>
    <row r="35" spans="1:2" x14ac:dyDescent="0.25">
      <c r="A35" s="276" t="s">
        <v>209</v>
      </c>
      <c r="B35" s="168">
        <v>29155</v>
      </c>
    </row>
    <row r="36" spans="1:2" x14ac:dyDescent="0.25">
      <c r="A36" s="276" t="s">
        <v>812</v>
      </c>
      <c r="B36" s="168">
        <v>481096</v>
      </c>
    </row>
    <row r="37" spans="1:2" x14ac:dyDescent="0.25">
      <c r="A37" s="276" t="s">
        <v>202</v>
      </c>
      <c r="B37" s="168">
        <v>164945</v>
      </c>
    </row>
    <row r="38" spans="1:2" x14ac:dyDescent="0.25">
      <c r="A38" s="276" t="s">
        <v>808</v>
      </c>
      <c r="B38" s="168">
        <v>164945</v>
      </c>
    </row>
    <row r="39" spans="1:2" x14ac:dyDescent="0.25">
      <c r="A39" s="276" t="s">
        <v>207</v>
      </c>
      <c r="B39" s="168">
        <v>329659</v>
      </c>
    </row>
    <row r="40" spans="1:2" x14ac:dyDescent="0.25">
      <c r="A40" s="276" t="s">
        <v>206</v>
      </c>
      <c r="B40" s="168">
        <v>16460</v>
      </c>
    </row>
    <row r="41" spans="1:2" x14ac:dyDescent="0.25">
      <c r="A41" s="276" t="s">
        <v>811</v>
      </c>
      <c r="B41" s="168">
        <v>346119</v>
      </c>
    </row>
    <row r="42" spans="1:2" x14ac:dyDescent="0.25">
      <c r="A42" s="276" t="s">
        <v>816</v>
      </c>
      <c r="B42" s="168">
        <v>5063818</v>
      </c>
    </row>
    <row r="43" spans="1:2" x14ac:dyDescent="0.25">
      <c r="A43" s="276" t="s">
        <v>228</v>
      </c>
      <c r="B43" s="168">
        <v>224607</v>
      </c>
    </row>
    <row r="44" spans="1:2" x14ac:dyDescent="0.25">
      <c r="A44" s="276" t="s">
        <v>229</v>
      </c>
      <c r="B44" s="168">
        <v>1538368</v>
      </c>
    </row>
    <row r="45" spans="1:2" x14ac:dyDescent="0.25">
      <c r="A45" s="276" t="s">
        <v>380</v>
      </c>
      <c r="B45" s="168">
        <v>2024375</v>
      </c>
    </row>
    <row r="46" spans="1:2" x14ac:dyDescent="0.25">
      <c r="A46" s="276" t="s">
        <v>419</v>
      </c>
      <c r="B46" s="168">
        <v>4792059</v>
      </c>
    </row>
    <row r="47" spans="1:2" x14ac:dyDescent="0.25">
      <c r="A47" s="78" t="s">
        <v>70</v>
      </c>
      <c r="B47" s="78" t="str">
        <f>"Região "&amp;A47&amp;" "&amp;TEXT(B46,"##.###")&amp;" passageiros"</f>
        <v>Região Norte 4.792.059 passageiros</v>
      </c>
    </row>
  </sheetData>
  <mergeCells count="2">
    <mergeCell ref="A3:B3"/>
    <mergeCell ref="A4:B4"/>
  </mergeCells>
  <conditionalFormatting sqref="A6:B46">
    <cfRule type="expression" dxfId="1" priority="1">
      <formula>LEFT($A6,5)="Total"</formula>
    </cfRule>
    <cfRule type="expression" dxfId="0" priority="2">
      <formula>RIGHT($A6,5)="Total"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Plan78"/>
  <dimension ref="A1:H27"/>
  <sheetViews>
    <sheetView showGridLines="0" workbookViewId="0">
      <selection activeCell="B6" sqref="B6:B26"/>
    </sheetView>
  </sheetViews>
  <sheetFormatPr defaultRowHeight="15" x14ac:dyDescent="0.25"/>
  <cols>
    <col min="1" max="1" width="30.5703125" bestFit="1" customWidth="1"/>
    <col min="2" max="2" width="43.85546875" bestFit="1" customWidth="1"/>
    <col min="5" max="5" width="15.85546875" bestFit="1" customWidth="1"/>
  </cols>
  <sheetData>
    <row r="1" spans="1:8" x14ac:dyDescent="0.25">
      <c r="C1" s="78"/>
      <c r="D1" s="78"/>
      <c r="E1" s="78"/>
      <c r="F1" s="78"/>
      <c r="G1" s="78" t="s">
        <v>266</v>
      </c>
      <c r="H1" s="78" t="s">
        <v>1231</v>
      </c>
    </row>
    <row r="3" spans="1:8" x14ac:dyDescent="0.25">
      <c r="A3" s="350" t="str">
        <f>"Tabela Referente à "&amp;G1</f>
        <v>Tabela Referente à Figura 3.20</v>
      </c>
      <c r="B3" s="350"/>
    </row>
    <row r="4" spans="1:8" ht="32.25" customHeight="1" x14ac:dyDescent="0.25">
      <c r="A4" s="351" t="str">
        <f>H1</f>
        <v>Distribuição dos embarques nos 20 maiores aeroportos – mercado doméstico, 2018</v>
      </c>
      <c r="B4" s="351"/>
    </row>
    <row r="5" spans="1:8" x14ac:dyDescent="0.25">
      <c r="A5" s="1" t="s">
        <v>101</v>
      </c>
      <c r="B5" s="21" t="s">
        <v>830</v>
      </c>
    </row>
    <row r="6" spans="1:8" x14ac:dyDescent="0.25">
      <c r="A6" s="68" t="s">
        <v>545</v>
      </c>
      <c r="B6" s="149">
        <v>0.14188261587556508</v>
      </c>
    </row>
    <row r="7" spans="1:8" x14ac:dyDescent="0.25">
      <c r="A7" s="67" t="s">
        <v>546</v>
      </c>
      <c r="B7" s="150">
        <v>0.11533369034036153</v>
      </c>
    </row>
    <row r="8" spans="1:8" x14ac:dyDescent="0.25">
      <c r="A8" s="68" t="s">
        <v>547</v>
      </c>
      <c r="B8" s="149">
        <v>9.0866144254687323E-2</v>
      </c>
    </row>
    <row r="9" spans="1:8" x14ac:dyDescent="0.25">
      <c r="A9" s="67" t="s">
        <v>551</v>
      </c>
      <c r="B9" s="150">
        <v>5.5408693850811992E-2</v>
      </c>
      <c r="C9" s="29"/>
    </row>
    <row r="10" spans="1:8" x14ac:dyDescent="0.25">
      <c r="A10" s="68" t="s">
        <v>549</v>
      </c>
      <c r="B10" s="149">
        <v>5.1699661341638108E-2</v>
      </c>
      <c r="C10" s="29"/>
    </row>
    <row r="11" spans="1:8" x14ac:dyDescent="0.25">
      <c r="A11" s="67" t="s">
        <v>550</v>
      </c>
      <c r="B11" s="150">
        <v>4.8034206470013815E-2</v>
      </c>
    </row>
    <row r="12" spans="1:8" x14ac:dyDescent="0.25">
      <c r="A12" s="68" t="s">
        <v>548</v>
      </c>
      <c r="B12" s="149">
        <v>4.3025287523245054E-2</v>
      </c>
    </row>
    <row r="13" spans="1:8" x14ac:dyDescent="0.25">
      <c r="A13" s="67" t="s">
        <v>555</v>
      </c>
      <c r="B13" s="150">
        <v>4.1429241865498762E-2</v>
      </c>
    </row>
    <row r="14" spans="1:8" x14ac:dyDescent="0.25">
      <c r="A14" s="68" t="s">
        <v>554</v>
      </c>
      <c r="B14" s="149">
        <v>4.0555393306598742E-2</v>
      </c>
    </row>
    <row r="15" spans="1:8" x14ac:dyDescent="0.25">
      <c r="A15" s="67" t="s">
        <v>552</v>
      </c>
      <c r="B15" s="150">
        <v>3.9081612767681857E-2</v>
      </c>
    </row>
    <row r="16" spans="1:8" x14ac:dyDescent="0.25">
      <c r="A16" s="68" t="s">
        <v>556</v>
      </c>
      <c r="B16" s="149">
        <v>3.2677066854460195E-2</v>
      </c>
    </row>
    <row r="17" spans="1:2" x14ac:dyDescent="0.25">
      <c r="A17" s="67" t="s">
        <v>553</v>
      </c>
      <c r="B17" s="150">
        <v>3.2608801273265743E-2</v>
      </c>
    </row>
    <row r="18" spans="1:2" x14ac:dyDescent="0.25">
      <c r="A18" s="68" t="s">
        <v>562</v>
      </c>
      <c r="B18" s="149">
        <v>1.8250615730341879E-2</v>
      </c>
    </row>
    <row r="19" spans="1:2" x14ac:dyDescent="0.25">
      <c r="A19" s="67" t="s">
        <v>557</v>
      </c>
      <c r="B19" s="150">
        <v>1.7598574249898156E-2</v>
      </c>
    </row>
    <row r="20" spans="1:2" x14ac:dyDescent="0.25">
      <c r="A20" s="68" t="s">
        <v>559</v>
      </c>
      <c r="B20" s="149">
        <v>1.6407936234202305E-2</v>
      </c>
    </row>
    <row r="21" spans="1:2" x14ac:dyDescent="0.25">
      <c r="A21" s="67" t="s">
        <v>560</v>
      </c>
      <c r="B21" s="150">
        <v>1.6201067924413462E-2</v>
      </c>
    </row>
    <row r="22" spans="1:2" x14ac:dyDescent="0.25">
      <c r="A22" s="68" t="s">
        <v>558</v>
      </c>
      <c r="B22" s="149">
        <v>1.5920594945271677E-2</v>
      </c>
    </row>
    <row r="23" spans="1:2" x14ac:dyDescent="0.25">
      <c r="A23" s="67" t="s">
        <v>561</v>
      </c>
      <c r="B23" s="150">
        <v>1.427491712400406E-2</v>
      </c>
    </row>
    <row r="24" spans="1:2" x14ac:dyDescent="0.25">
      <c r="A24" s="68" t="s">
        <v>563</v>
      </c>
      <c r="B24" s="149">
        <v>1.2289459732330154E-2</v>
      </c>
    </row>
    <row r="25" spans="1:2" x14ac:dyDescent="0.25">
      <c r="A25" s="67" t="s">
        <v>572</v>
      </c>
      <c r="B25" s="150">
        <v>1.1636820274012683E-2</v>
      </c>
    </row>
    <row r="26" spans="1:2" x14ac:dyDescent="0.25">
      <c r="A26" s="68" t="s">
        <v>63</v>
      </c>
      <c r="B26" s="149">
        <f>1-SUM(B6:B25)</f>
        <v>0.14481759806169736</v>
      </c>
    </row>
    <row r="27" spans="1:2" x14ac:dyDescent="0.25">
      <c r="A27" s="1"/>
      <c r="B27" s="60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Plan79"/>
  <dimension ref="A1:H26"/>
  <sheetViews>
    <sheetView showGridLines="0" workbookViewId="0">
      <selection activeCell="A5" sqref="A5:B25"/>
    </sheetView>
  </sheetViews>
  <sheetFormatPr defaultRowHeight="15" x14ac:dyDescent="0.25"/>
  <cols>
    <col min="1" max="1" width="21" bestFit="1" customWidth="1"/>
    <col min="2" max="2" width="36" customWidth="1"/>
    <col min="5" max="5" width="15.85546875" bestFit="1" customWidth="1"/>
  </cols>
  <sheetData>
    <row r="1" spans="1:8" x14ac:dyDescent="0.25">
      <c r="C1" s="78"/>
      <c r="D1" s="78"/>
      <c r="E1" s="78"/>
      <c r="F1" s="78"/>
      <c r="G1" s="78" t="s">
        <v>267</v>
      </c>
      <c r="H1" s="78" t="s">
        <v>1232</v>
      </c>
    </row>
    <row r="3" spans="1:8" x14ac:dyDescent="0.25">
      <c r="A3" s="350" t="str">
        <f>"Tabela Referente à "&amp;G1</f>
        <v>Tabela Referente à Figura 3.21</v>
      </c>
      <c r="B3" s="350"/>
    </row>
    <row r="4" spans="1:8" ht="29.25" customHeight="1" x14ac:dyDescent="0.25">
      <c r="A4" s="351" t="str">
        <f>H1</f>
        <v>Variação no número de embarques em relação ao ano anterior por aeroporto – mercado doméstico, 2018</v>
      </c>
      <c r="B4" s="351"/>
    </row>
    <row r="5" spans="1:8" ht="16.5" customHeight="1" x14ac:dyDescent="0.25">
      <c r="A5" s="1" t="s">
        <v>101</v>
      </c>
      <c r="B5" s="70" t="s">
        <v>830</v>
      </c>
    </row>
    <row r="6" spans="1:8" x14ac:dyDescent="0.25">
      <c r="A6" s="68" t="s">
        <v>545</v>
      </c>
      <c r="B6" s="149">
        <v>0.14425236393767976</v>
      </c>
    </row>
    <row r="7" spans="1:8" x14ac:dyDescent="0.25">
      <c r="A7" s="67" t="s">
        <v>546</v>
      </c>
      <c r="B7" s="150">
        <v>1.9800843438847381E-2</v>
      </c>
    </row>
    <row r="8" spans="1:8" x14ac:dyDescent="0.25">
      <c r="A8" s="68" t="s">
        <v>547</v>
      </c>
      <c r="B8" s="149">
        <v>5.8016788977502634E-2</v>
      </c>
    </row>
    <row r="9" spans="1:8" x14ac:dyDescent="0.25">
      <c r="A9" s="67" t="s">
        <v>551</v>
      </c>
      <c r="B9" s="150">
        <v>-0.11790967873104637</v>
      </c>
      <c r="C9" s="29"/>
    </row>
    <row r="10" spans="1:8" x14ac:dyDescent="0.25">
      <c r="A10" s="68" t="s">
        <v>549</v>
      </c>
      <c r="B10" s="149">
        <v>3.2685291160397048E-2</v>
      </c>
      <c r="C10" s="29"/>
    </row>
    <row r="11" spans="1:8" x14ac:dyDescent="0.25">
      <c r="A11" s="67" t="s">
        <v>550</v>
      </c>
      <c r="B11" s="150">
        <v>2.053179052717494E-3</v>
      </c>
    </row>
    <row r="12" spans="1:8" x14ac:dyDescent="0.25">
      <c r="A12" s="68" t="s">
        <v>548</v>
      </c>
      <c r="B12" s="149">
        <v>-2.8846533923232737E-2</v>
      </c>
    </row>
    <row r="13" spans="1:8" x14ac:dyDescent="0.25">
      <c r="A13" s="67" t="s">
        <v>555</v>
      </c>
      <c r="B13" s="150">
        <v>7.7976636182659542E-2</v>
      </c>
    </row>
    <row r="14" spans="1:8" x14ac:dyDescent="0.25">
      <c r="A14" s="68" t="s">
        <v>554</v>
      </c>
      <c r="B14" s="149">
        <v>3.3902356161758268E-2</v>
      </c>
    </row>
    <row r="15" spans="1:8" x14ac:dyDescent="0.25">
      <c r="A15" s="67" t="s">
        <v>552</v>
      </c>
      <c r="B15" s="150">
        <v>1.5422979156921529E-2</v>
      </c>
    </row>
    <row r="16" spans="1:8" x14ac:dyDescent="0.25">
      <c r="A16" s="68" t="s">
        <v>556</v>
      </c>
      <c r="B16" s="149">
        <v>9.5574915187246798E-2</v>
      </c>
    </row>
    <row r="17" spans="1:2" x14ac:dyDescent="0.25">
      <c r="A17" s="67" t="s">
        <v>553</v>
      </c>
      <c r="B17" s="150">
        <v>-5.7064957280791952E-2</v>
      </c>
    </row>
    <row r="18" spans="1:2" x14ac:dyDescent="0.25">
      <c r="A18" s="68" t="s">
        <v>562</v>
      </c>
      <c r="B18" s="149">
        <v>-1.3591496744100684E-2</v>
      </c>
    </row>
    <row r="19" spans="1:2" x14ac:dyDescent="0.25">
      <c r="A19" s="67" t="s">
        <v>557</v>
      </c>
      <c r="B19" s="150">
        <v>7.1367604431636686E-2</v>
      </c>
    </row>
    <row r="20" spans="1:2" x14ac:dyDescent="0.25">
      <c r="A20" s="68" t="s">
        <v>559</v>
      </c>
      <c r="B20" s="149">
        <v>3.5488340373226658E-2</v>
      </c>
    </row>
    <row r="21" spans="1:2" x14ac:dyDescent="0.25">
      <c r="A21" s="67" t="s">
        <v>560</v>
      </c>
      <c r="B21" s="150">
        <v>4.679055743948337E-2</v>
      </c>
    </row>
    <row r="22" spans="1:2" x14ac:dyDescent="0.25">
      <c r="A22" s="68" t="s">
        <v>558</v>
      </c>
      <c r="B22" s="149">
        <v>4.8772098153363926E-2</v>
      </c>
    </row>
    <row r="23" spans="1:2" x14ac:dyDescent="0.25">
      <c r="A23" s="67" t="s">
        <v>561</v>
      </c>
      <c r="B23" s="150">
        <v>8.1167355455449786E-2</v>
      </c>
    </row>
    <row r="24" spans="1:2" x14ac:dyDescent="0.25">
      <c r="A24" s="68" t="s">
        <v>563</v>
      </c>
      <c r="B24" s="149">
        <v>4.2836474442096151E-3</v>
      </c>
    </row>
    <row r="25" spans="1:2" x14ac:dyDescent="0.25">
      <c r="A25" s="67" t="s">
        <v>572</v>
      </c>
      <c r="B25" s="150">
        <v>5.5670454622510551E-2</v>
      </c>
    </row>
    <row r="26" spans="1:2" x14ac:dyDescent="0.25">
      <c r="A26" s="1"/>
      <c r="B26" s="60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Plan80"/>
  <dimension ref="A1:H27"/>
  <sheetViews>
    <sheetView showGridLines="0" workbookViewId="0">
      <selection activeCell="A5" sqref="A5:C25"/>
    </sheetView>
  </sheetViews>
  <sheetFormatPr defaultRowHeight="15" x14ac:dyDescent="0.25"/>
  <cols>
    <col min="1" max="1" width="54.85546875" bestFit="1" customWidth="1"/>
    <col min="2" max="2" width="43.85546875" bestFit="1" customWidth="1"/>
    <col min="3" max="3" width="36.140625" bestFit="1" customWidth="1"/>
    <col min="4" max="4" width="2.140625" customWidth="1"/>
    <col min="6" max="6" width="15.85546875" bestFit="1" customWidth="1"/>
  </cols>
  <sheetData>
    <row r="1" spans="1:8" x14ac:dyDescent="0.25">
      <c r="C1" s="78"/>
      <c r="D1" s="78"/>
      <c r="E1" s="78"/>
      <c r="F1" s="78"/>
      <c r="G1" s="78" t="s">
        <v>268</v>
      </c>
      <c r="H1" s="78" t="s">
        <v>1233</v>
      </c>
    </row>
    <row r="3" spans="1:8" x14ac:dyDescent="0.25">
      <c r="A3" s="350" t="str">
        <f>"Tabela Referente à "&amp;G1</f>
        <v>Tabela Referente à Figura 3.22</v>
      </c>
      <c r="B3" s="350"/>
      <c r="C3" s="350"/>
    </row>
    <row r="4" spans="1:8" x14ac:dyDescent="0.25">
      <c r="A4" s="351" t="str">
        <f>H1</f>
        <v>Passageiros pagos transportados nas 20 principais rotas* – mercado doméstico, 2017 e 2018</v>
      </c>
      <c r="B4" s="351"/>
      <c r="C4" s="351"/>
    </row>
    <row r="5" spans="1:8" ht="15.75" customHeight="1" x14ac:dyDescent="0.25">
      <c r="A5" s="1" t="s">
        <v>831</v>
      </c>
      <c r="B5" s="70" t="s">
        <v>589</v>
      </c>
      <c r="C5" s="70" t="s">
        <v>832</v>
      </c>
    </row>
    <row r="6" spans="1:8" x14ac:dyDescent="0.25">
      <c r="A6" s="111" t="s">
        <v>573</v>
      </c>
      <c r="B6" s="71">
        <v>4093857</v>
      </c>
      <c r="C6" s="71">
        <v>4225692</v>
      </c>
    </row>
    <row r="7" spans="1:8" x14ac:dyDescent="0.25">
      <c r="A7" s="112" t="s">
        <v>576</v>
      </c>
      <c r="B7" s="72">
        <v>1888322</v>
      </c>
      <c r="C7" s="72">
        <v>2212481</v>
      </c>
    </row>
    <row r="8" spans="1:8" x14ac:dyDescent="0.25">
      <c r="A8" s="111" t="s">
        <v>577</v>
      </c>
      <c r="B8" s="71">
        <v>2042799</v>
      </c>
      <c r="C8" s="71">
        <v>2085926</v>
      </c>
    </row>
    <row r="9" spans="1:8" x14ac:dyDescent="0.25">
      <c r="A9" s="112" t="s">
        <v>574</v>
      </c>
      <c r="B9" s="72">
        <v>1806149</v>
      </c>
      <c r="C9" s="72">
        <v>2014023</v>
      </c>
      <c r="D9" s="29"/>
    </row>
    <row r="10" spans="1:8" x14ac:dyDescent="0.25">
      <c r="A10" s="111" t="s">
        <v>575</v>
      </c>
      <c r="B10" s="71">
        <v>1794490</v>
      </c>
      <c r="C10" s="71">
        <v>1998738</v>
      </c>
      <c r="D10" s="29"/>
    </row>
    <row r="11" spans="1:8" x14ac:dyDescent="0.25">
      <c r="A11" s="112" t="s">
        <v>579</v>
      </c>
      <c r="B11" s="72">
        <v>1737474</v>
      </c>
      <c r="C11" s="72">
        <v>1813608</v>
      </c>
    </row>
    <row r="12" spans="1:8" x14ac:dyDescent="0.25">
      <c r="A12" s="111" t="s">
        <v>580</v>
      </c>
      <c r="B12" s="71">
        <v>1810854</v>
      </c>
      <c r="C12" s="71">
        <v>1774711</v>
      </c>
    </row>
    <row r="13" spans="1:8" x14ac:dyDescent="0.25">
      <c r="A13" s="112" t="s">
        <v>578</v>
      </c>
      <c r="B13" s="72">
        <v>1496762</v>
      </c>
      <c r="C13" s="72">
        <v>1750976</v>
      </c>
    </row>
    <row r="14" spans="1:8" x14ac:dyDescent="0.25">
      <c r="A14" s="111" t="s">
        <v>581</v>
      </c>
      <c r="B14" s="71">
        <v>1311234</v>
      </c>
      <c r="C14" s="71">
        <v>1651004</v>
      </c>
    </row>
    <row r="15" spans="1:8" x14ac:dyDescent="0.25">
      <c r="A15" s="112" t="s">
        <v>582</v>
      </c>
      <c r="B15" s="72">
        <v>1544731</v>
      </c>
      <c r="C15" s="72">
        <v>1633026</v>
      </c>
    </row>
    <row r="16" spans="1:8" x14ac:dyDescent="0.25">
      <c r="A16" s="111" t="s">
        <v>583</v>
      </c>
      <c r="B16" s="71">
        <v>1505024</v>
      </c>
      <c r="C16" s="71">
        <v>1461726</v>
      </c>
    </row>
    <row r="17" spans="1:3" x14ac:dyDescent="0.25">
      <c r="A17" s="112" t="s">
        <v>588</v>
      </c>
      <c r="B17" s="72">
        <v>1074642</v>
      </c>
      <c r="C17" s="72">
        <v>1414586</v>
      </c>
    </row>
    <row r="18" spans="1:3" x14ac:dyDescent="0.25">
      <c r="A18" s="111" t="s">
        <v>585</v>
      </c>
      <c r="B18" s="71">
        <v>1241457</v>
      </c>
      <c r="C18" s="71">
        <v>1278760</v>
      </c>
    </row>
    <row r="19" spans="1:3" x14ac:dyDescent="0.25">
      <c r="A19" s="112" t="s">
        <v>584</v>
      </c>
      <c r="B19" s="72">
        <v>1183495</v>
      </c>
      <c r="C19" s="72">
        <v>1238828</v>
      </c>
    </row>
    <row r="20" spans="1:3" x14ac:dyDescent="0.25">
      <c r="A20" s="111" t="s">
        <v>587</v>
      </c>
      <c r="B20" s="71">
        <v>1151049</v>
      </c>
      <c r="C20" s="71">
        <v>1163761</v>
      </c>
    </row>
    <row r="21" spans="1:3" x14ac:dyDescent="0.25">
      <c r="A21" s="112" t="s">
        <v>833</v>
      </c>
      <c r="B21" s="72">
        <v>805590</v>
      </c>
      <c r="C21" s="72">
        <v>951289</v>
      </c>
    </row>
    <row r="22" spans="1:3" x14ac:dyDescent="0.25">
      <c r="A22" s="111" t="s">
        <v>834</v>
      </c>
      <c r="B22" s="71">
        <v>807529</v>
      </c>
      <c r="C22" s="71">
        <v>904775</v>
      </c>
    </row>
    <row r="23" spans="1:3" x14ac:dyDescent="0.25">
      <c r="A23" s="112" t="s">
        <v>586</v>
      </c>
      <c r="B23" s="72">
        <v>1127795</v>
      </c>
      <c r="C23" s="72">
        <v>891191</v>
      </c>
    </row>
    <row r="24" spans="1:3" x14ac:dyDescent="0.25">
      <c r="A24" s="111" t="s">
        <v>835</v>
      </c>
      <c r="B24" s="71">
        <v>832164</v>
      </c>
      <c r="C24" s="71">
        <v>885314</v>
      </c>
    </row>
    <row r="25" spans="1:3" x14ac:dyDescent="0.25">
      <c r="A25" s="112" t="s">
        <v>836</v>
      </c>
      <c r="B25" s="72">
        <v>788817</v>
      </c>
      <c r="C25" s="72">
        <v>883142</v>
      </c>
    </row>
    <row r="26" spans="1:3" x14ac:dyDescent="0.25">
      <c r="A26" s="1"/>
      <c r="B26" s="1"/>
      <c r="C26" s="70"/>
    </row>
    <row r="27" spans="1:3" x14ac:dyDescent="0.25">
      <c r="A27" t="s">
        <v>542</v>
      </c>
      <c r="B27" s="78">
        <v>2016</v>
      </c>
      <c r="C27" s="78">
        <v>2017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A1:H14"/>
  <sheetViews>
    <sheetView showGridLines="0" workbookViewId="0">
      <selection activeCell="A5" sqref="A5:B14"/>
    </sheetView>
  </sheetViews>
  <sheetFormatPr defaultRowHeight="15" x14ac:dyDescent="0.25"/>
  <cols>
    <col min="1" max="1" width="34.28515625" customWidth="1"/>
    <col min="2" max="2" width="27.28515625" customWidth="1"/>
  </cols>
  <sheetData>
    <row r="1" spans="1:8" x14ac:dyDescent="0.25">
      <c r="C1" s="78"/>
      <c r="D1" s="78"/>
      <c r="E1" s="78"/>
      <c r="F1" s="78"/>
      <c r="G1" s="78" t="s">
        <v>1131</v>
      </c>
      <c r="H1" s="78" t="s">
        <v>1132</v>
      </c>
    </row>
    <row r="3" spans="1:8" x14ac:dyDescent="0.25">
      <c r="A3" s="350" t="str">
        <f>"Tabela Referente à "&amp;G1</f>
        <v>Tabela Referente à Figura 1.7</v>
      </c>
      <c r="B3" s="350"/>
    </row>
    <row r="4" spans="1:8" ht="31.5" customHeight="1" x14ac:dyDescent="0.25">
      <c r="A4" s="351" t="str">
        <f>H1</f>
        <v>Proporção de aeronaves por assentos de passageiro instalados – empresas aéreas brasileiras, 2018</v>
      </c>
      <c r="B4" s="351"/>
    </row>
    <row r="5" spans="1:8" x14ac:dyDescent="0.25">
      <c r="A5" s="1" t="s">
        <v>37</v>
      </c>
      <c r="B5" s="1" t="s">
        <v>41</v>
      </c>
    </row>
    <row r="6" spans="1:8" x14ac:dyDescent="0.25">
      <c r="A6" s="15" t="s">
        <v>422</v>
      </c>
      <c r="B6" s="8">
        <v>26</v>
      </c>
      <c r="C6" s="20"/>
    </row>
    <row r="7" spans="1:8" x14ac:dyDescent="0.25">
      <c r="A7" s="14" t="s">
        <v>39</v>
      </c>
      <c r="B7" s="7">
        <v>13</v>
      </c>
      <c r="C7" s="20"/>
    </row>
    <row r="8" spans="1:8" x14ac:dyDescent="0.25">
      <c r="A8" s="15" t="s">
        <v>40</v>
      </c>
      <c r="B8" s="8">
        <v>45</v>
      </c>
      <c r="C8" s="20"/>
    </row>
    <row r="9" spans="1:8" x14ac:dyDescent="0.25">
      <c r="A9" s="14" t="s">
        <v>423</v>
      </c>
      <c r="B9" s="7">
        <v>120</v>
      </c>
      <c r="C9" s="20"/>
    </row>
    <row r="10" spans="1:8" x14ac:dyDescent="0.25">
      <c r="A10" s="15" t="s">
        <v>424</v>
      </c>
      <c r="B10" s="8">
        <v>209</v>
      </c>
      <c r="C10" s="20"/>
    </row>
    <row r="11" spans="1:8" x14ac:dyDescent="0.25">
      <c r="A11" s="14" t="s">
        <v>425</v>
      </c>
      <c r="B11" s="7">
        <v>62</v>
      </c>
      <c r="C11" s="20"/>
    </row>
    <row r="12" spans="1:8" x14ac:dyDescent="0.25">
      <c r="A12" s="15" t="s">
        <v>426</v>
      </c>
      <c r="B12" s="8">
        <v>7</v>
      </c>
      <c r="C12" s="20"/>
    </row>
    <row r="13" spans="1:8" x14ac:dyDescent="0.25">
      <c r="A13" s="14" t="s">
        <v>427</v>
      </c>
      <c r="B13" s="7">
        <v>17</v>
      </c>
      <c r="C13" s="20"/>
    </row>
    <row r="14" spans="1:8" x14ac:dyDescent="0.25">
      <c r="A14" s="16" t="s">
        <v>42</v>
      </c>
      <c r="B14" s="9">
        <v>499</v>
      </c>
      <c r="C14" s="20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Plan81"/>
  <dimension ref="A1:H18"/>
  <sheetViews>
    <sheetView showGridLines="0" workbookViewId="0">
      <selection activeCell="B6" sqref="B6"/>
    </sheetView>
  </sheetViews>
  <sheetFormatPr defaultRowHeight="15" x14ac:dyDescent="0.25"/>
  <cols>
    <col min="1" max="1" width="20" customWidth="1"/>
    <col min="2" max="2" width="27.5703125" customWidth="1"/>
    <col min="3" max="3" width="7.140625" bestFit="1" customWidth="1"/>
  </cols>
  <sheetData>
    <row r="1" spans="1:8" x14ac:dyDescent="0.25">
      <c r="C1" s="78"/>
      <c r="D1" s="78"/>
      <c r="E1" s="78"/>
      <c r="F1" s="78"/>
      <c r="G1" s="78" t="s">
        <v>269</v>
      </c>
      <c r="H1" s="78" t="s">
        <v>1234</v>
      </c>
    </row>
    <row r="3" spans="1:8" x14ac:dyDescent="0.25">
      <c r="A3" s="350" t="str">
        <f>"Tabela Referente à "&amp;G1</f>
        <v>Tabela Referente à Figura 3.23</v>
      </c>
      <c r="B3" s="350"/>
    </row>
    <row r="4" spans="1:8" ht="18" customHeight="1" x14ac:dyDescent="0.25">
      <c r="A4" s="351" t="str">
        <f>H1</f>
        <v>Evolução do RPK – mercado doméstico, 2009 a 2018</v>
      </c>
      <c r="B4" s="351"/>
    </row>
    <row r="5" spans="1:8" x14ac:dyDescent="0.25">
      <c r="A5" s="1" t="s">
        <v>20</v>
      </c>
      <c r="B5" s="21" t="s">
        <v>230</v>
      </c>
    </row>
    <row r="6" spans="1:8" x14ac:dyDescent="0.25">
      <c r="A6" s="109">
        <v>2009</v>
      </c>
      <c r="B6" s="23">
        <v>56862869334</v>
      </c>
    </row>
    <row r="7" spans="1:8" x14ac:dyDescent="0.25">
      <c r="A7" s="110">
        <v>2010</v>
      </c>
      <c r="B7" s="24">
        <v>70279463281</v>
      </c>
    </row>
    <row r="8" spans="1:8" x14ac:dyDescent="0.25">
      <c r="A8" s="109">
        <v>2011</v>
      </c>
      <c r="B8" s="23">
        <v>81461989545</v>
      </c>
    </row>
    <row r="9" spans="1:8" x14ac:dyDescent="0.25">
      <c r="A9" s="110">
        <v>2012</v>
      </c>
      <c r="B9" s="24">
        <v>87047335828</v>
      </c>
    </row>
    <row r="10" spans="1:8" x14ac:dyDescent="0.25">
      <c r="A10" s="109">
        <v>2013</v>
      </c>
      <c r="B10" s="23">
        <v>88243309570</v>
      </c>
    </row>
    <row r="11" spans="1:8" x14ac:dyDescent="0.25">
      <c r="A11" s="110">
        <v>2014</v>
      </c>
      <c r="B11" s="24">
        <v>93338045415</v>
      </c>
    </row>
    <row r="12" spans="1:8" x14ac:dyDescent="0.25">
      <c r="A12" s="109">
        <v>2015</v>
      </c>
      <c r="B12" s="23">
        <v>94373862773</v>
      </c>
      <c r="C12" s="11"/>
    </row>
    <row r="13" spans="1:8" x14ac:dyDescent="0.25">
      <c r="A13" s="110">
        <v>2016</v>
      </c>
      <c r="B13" s="24">
        <v>89026864137</v>
      </c>
      <c r="C13" s="11"/>
    </row>
    <row r="14" spans="1:8" x14ac:dyDescent="0.25">
      <c r="A14" s="109">
        <v>2017</v>
      </c>
      <c r="B14" s="23">
        <v>91914321291</v>
      </c>
      <c r="C14" s="11"/>
    </row>
    <row r="15" spans="1:8" x14ac:dyDescent="0.25">
      <c r="A15" s="18">
        <v>2018</v>
      </c>
      <c r="B15" s="24">
        <v>95941602246</v>
      </c>
      <c r="C15" s="114" t="str">
        <f>IF((B15/B6-1)&gt;0,"+","")&amp;ROUND((B15/B6-1)*100,0)&amp;"%"</f>
        <v>+69%</v>
      </c>
      <c r="D15" s="114">
        <f>(B15/B6)^(1/COUNTA(B7:B15))-1</f>
        <v>5.984418618028875E-2</v>
      </c>
    </row>
    <row r="16" spans="1:8" x14ac:dyDescent="0.25">
      <c r="A16" s="16"/>
      <c r="B16" s="9"/>
      <c r="C16" s="11"/>
    </row>
    <row r="17" spans="2:3" x14ac:dyDescent="0.25">
      <c r="B17" s="78">
        <f>B15/B6-1</f>
        <v>0.68724518072523044</v>
      </c>
      <c r="C17" s="11"/>
    </row>
    <row r="18" spans="2:3" x14ac:dyDescent="0.25">
      <c r="B18" s="114">
        <f>(1+B17)^(1/9)-1</f>
        <v>5.984418618028875E-2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Plan82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9.28515625" customWidth="1"/>
    <col min="2" max="2" width="33.28515625" customWidth="1"/>
  </cols>
  <sheetData>
    <row r="1" spans="1:8" x14ac:dyDescent="0.25">
      <c r="C1" s="78"/>
      <c r="D1" s="78"/>
      <c r="E1" s="78"/>
      <c r="F1" s="78"/>
      <c r="G1" s="78" t="s">
        <v>270</v>
      </c>
      <c r="H1" s="78" t="s">
        <v>1235</v>
      </c>
    </row>
    <row r="3" spans="1:8" x14ac:dyDescent="0.25">
      <c r="A3" s="350" t="str">
        <f>"Tabela Referente à "&amp;G1</f>
        <v>Tabela Referente à Figura 3.24</v>
      </c>
      <c r="B3" s="350"/>
    </row>
    <row r="4" spans="1:8" ht="31.5" customHeight="1" x14ac:dyDescent="0.25">
      <c r="A4" s="351" t="str">
        <f>H1</f>
        <v>Variação do RPK em relação ao ano anterior – mercado doméstico, 2009 a 2018</v>
      </c>
      <c r="B4" s="351"/>
    </row>
    <row r="5" spans="1:8" x14ac:dyDescent="0.25">
      <c r="A5" s="1" t="s">
        <v>20</v>
      </c>
      <c r="B5" s="21" t="s">
        <v>128</v>
      </c>
    </row>
    <row r="6" spans="1:8" x14ac:dyDescent="0.25">
      <c r="A6" s="17">
        <v>2009</v>
      </c>
      <c r="B6" s="10">
        <v>0.14379089962217914</v>
      </c>
    </row>
    <row r="7" spans="1:8" x14ac:dyDescent="0.25">
      <c r="A7" s="18">
        <v>2010</v>
      </c>
      <c r="B7" s="11">
        <v>0.23594648149381761</v>
      </c>
    </row>
    <row r="8" spans="1:8" x14ac:dyDescent="0.25">
      <c r="A8" s="17">
        <v>2011</v>
      </c>
      <c r="B8" s="10">
        <v>0.15911513466300456</v>
      </c>
    </row>
    <row r="9" spans="1:8" x14ac:dyDescent="0.25">
      <c r="A9" s="18">
        <v>2012</v>
      </c>
      <c r="B9" s="11">
        <v>6.856383344178732E-2</v>
      </c>
    </row>
    <row r="10" spans="1:8" x14ac:dyDescent="0.25">
      <c r="A10" s="17">
        <v>2013</v>
      </c>
      <c r="B10" s="10">
        <v>1.3739349178510966E-2</v>
      </c>
    </row>
    <row r="11" spans="1:8" x14ac:dyDescent="0.25">
      <c r="A11" s="18">
        <v>2014</v>
      </c>
      <c r="B11" s="11">
        <v>5.773509481711521E-2</v>
      </c>
    </row>
    <row r="12" spans="1:8" x14ac:dyDescent="0.25">
      <c r="A12" s="17">
        <v>2015</v>
      </c>
      <c r="B12" s="10">
        <v>1.1097482847369951E-2</v>
      </c>
    </row>
    <row r="13" spans="1:8" x14ac:dyDescent="0.25">
      <c r="A13" s="18">
        <v>2016</v>
      </c>
      <c r="B13" s="11">
        <v>-5.6657621918700947E-2</v>
      </c>
    </row>
    <row r="14" spans="1:8" x14ac:dyDescent="0.25">
      <c r="A14" s="17">
        <v>2017</v>
      </c>
      <c r="B14" s="10">
        <v>3.2433548929192924E-2</v>
      </c>
    </row>
    <row r="15" spans="1:8" x14ac:dyDescent="0.25">
      <c r="A15" s="18">
        <v>2018</v>
      </c>
      <c r="B15" s="11">
        <v>4.3815598031232382E-2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Plan83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9.28515625" customWidth="1"/>
    <col min="2" max="2" width="46.85546875" customWidth="1"/>
  </cols>
  <sheetData>
    <row r="1" spans="1:8" x14ac:dyDescent="0.25">
      <c r="C1" s="78"/>
      <c r="D1" s="78"/>
      <c r="E1" s="78"/>
      <c r="F1" s="78"/>
      <c r="G1" s="78" t="s">
        <v>271</v>
      </c>
      <c r="H1" s="78" t="s">
        <v>1236</v>
      </c>
    </row>
    <row r="3" spans="1:8" x14ac:dyDescent="0.25">
      <c r="A3" s="350" t="str">
        <f>"Tabela Referente à "&amp;G1</f>
        <v>Tabela Referente à Figura 3.25</v>
      </c>
      <c r="B3" s="350"/>
    </row>
    <row r="4" spans="1:8" ht="28.5" customHeight="1" x14ac:dyDescent="0.25">
      <c r="A4" s="351" t="str">
        <f>H1</f>
        <v>Variação do RPK em relação ao mesmo mês do ano anterior – mercado doméstico, 2018</v>
      </c>
      <c r="B4" s="351"/>
    </row>
    <row r="5" spans="1:8" x14ac:dyDescent="0.25">
      <c r="A5" s="1" t="s">
        <v>20</v>
      </c>
      <c r="B5" s="21" t="s">
        <v>128</v>
      </c>
    </row>
    <row r="6" spans="1:8" x14ac:dyDescent="0.25">
      <c r="A6" s="17" t="s">
        <v>47</v>
      </c>
      <c r="B6" s="10">
        <v>2.8410621520820935E-2</v>
      </c>
      <c r="C6" s="78">
        <v>1</v>
      </c>
    </row>
    <row r="7" spans="1:8" x14ac:dyDescent="0.25">
      <c r="A7" s="18" t="s">
        <v>48</v>
      </c>
      <c r="B7" s="11">
        <v>5.6689595170607371E-2</v>
      </c>
      <c r="C7" s="78">
        <v>2</v>
      </c>
    </row>
    <row r="8" spans="1:8" x14ac:dyDescent="0.25">
      <c r="A8" s="17" t="s">
        <v>49</v>
      </c>
      <c r="B8" s="10">
        <v>1.9156550569927575E-2</v>
      </c>
      <c r="C8" s="78">
        <v>3</v>
      </c>
    </row>
    <row r="9" spans="1:8" x14ac:dyDescent="0.25">
      <c r="A9" s="18" t="s">
        <v>50</v>
      </c>
      <c r="B9" s="11">
        <v>6.3037375006574317E-2</v>
      </c>
      <c r="C9" s="78">
        <v>4</v>
      </c>
    </row>
    <row r="10" spans="1:8" x14ac:dyDescent="0.25">
      <c r="A10" s="17" t="s">
        <v>51</v>
      </c>
      <c r="B10" s="10">
        <v>3.8481690496331045E-2</v>
      </c>
      <c r="C10" s="78">
        <v>5</v>
      </c>
    </row>
    <row r="11" spans="1:8" x14ac:dyDescent="0.25">
      <c r="A11" s="18" t="s">
        <v>52</v>
      </c>
      <c r="B11" s="11">
        <v>5.110988167626155E-2</v>
      </c>
      <c r="C11" s="78">
        <v>6</v>
      </c>
    </row>
    <row r="12" spans="1:8" x14ac:dyDescent="0.25">
      <c r="A12" s="17" t="s">
        <v>53</v>
      </c>
      <c r="B12" s="10">
        <v>7.3560384303387127E-2</v>
      </c>
      <c r="C12" s="78">
        <v>7</v>
      </c>
    </row>
    <row r="13" spans="1:8" x14ac:dyDescent="0.25">
      <c r="A13" s="18" t="s">
        <v>54</v>
      </c>
      <c r="B13" s="11">
        <v>4.3492624494468737E-2</v>
      </c>
      <c r="C13" s="78">
        <v>8</v>
      </c>
    </row>
    <row r="14" spans="1:8" x14ac:dyDescent="0.25">
      <c r="A14" s="17" t="s">
        <v>55</v>
      </c>
      <c r="B14" s="10">
        <v>2.6680124858944061E-2</v>
      </c>
      <c r="C14" s="78">
        <v>9</v>
      </c>
    </row>
    <row r="15" spans="1:8" x14ac:dyDescent="0.25">
      <c r="A15" s="18" t="s">
        <v>56</v>
      </c>
      <c r="B15" s="11">
        <v>3.2530210477170064E-2</v>
      </c>
      <c r="C15" s="78">
        <v>10</v>
      </c>
    </row>
    <row r="16" spans="1:8" x14ac:dyDescent="0.25">
      <c r="A16" s="17" t="s">
        <v>57</v>
      </c>
      <c r="B16" s="10">
        <v>5.3918814975580792E-2</v>
      </c>
      <c r="C16" s="78">
        <v>11</v>
      </c>
    </row>
    <row r="17" spans="1:3" x14ac:dyDescent="0.25">
      <c r="A17" s="18" t="s">
        <v>58</v>
      </c>
      <c r="B17" s="11">
        <v>4.108266293464917E-2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Plan85"/>
  <dimension ref="A1:M24"/>
  <sheetViews>
    <sheetView showGridLines="0" workbookViewId="0">
      <selection activeCell="A5" sqref="A5:I10"/>
    </sheetView>
  </sheetViews>
  <sheetFormatPr defaultRowHeight="15" x14ac:dyDescent="0.25"/>
  <cols>
    <col min="1" max="1" width="9.28515625" customWidth="1"/>
    <col min="2" max="2" width="23.42578125" customWidth="1"/>
    <col min="3" max="6" width="23.140625" bestFit="1" customWidth="1"/>
    <col min="7" max="9" width="23.85546875" customWidth="1"/>
  </cols>
  <sheetData>
    <row r="1" spans="1:13" x14ac:dyDescent="0.25">
      <c r="C1" s="78"/>
      <c r="D1" s="78"/>
      <c r="E1" s="78"/>
      <c r="F1" s="78"/>
      <c r="G1" s="78" t="s">
        <v>272</v>
      </c>
      <c r="H1" s="78" t="s">
        <v>1237</v>
      </c>
    </row>
    <row r="3" spans="1:13" x14ac:dyDescent="0.25">
      <c r="A3" s="350" t="str">
        <f>"Tabela Referente à "&amp;G1</f>
        <v>Tabela Referente à Figura 3.26</v>
      </c>
      <c r="B3" s="350"/>
      <c r="C3" s="350"/>
      <c r="D3" s="350"/>
      <c r="E3" s="350"/>
      <c r="F3" s="350"/>
      <c r="G3" s="350"/>
      <c r="H3" s="350"/>
      <c r="I3" s="350"/>
    </row>
    <row r="4" spans="1:13" ht="15" customHeight="1" x14ac:dyDescent="0.25">
      <c r="A4" s="351" t="str">
        <f>H1</f>
        <v>Participação das cinco maiores empresas no RPK – mercado doméstico, 2010 a 2018</v>
      </c>
      <c r="B4" s="351"/>
      <c r="C4" s="351"/>
      <c r="D4" s="351"/>
      <c r="E4" s="351"/>
      <c r="F4" s="351"/>
      <c r="G4" s="351"/>
      <c r="H4" s="351"/>
      <c r="I4" s="351"/>
    </row>
    <row r="5" spans="1:13" x14ac:dyDescent="0.25">
      <c r="A5" s="1" t="s">
        <v>7</v>
      </c>
      <c r="B5" s="21" t="s">
        <v>525</v>
      </c>
      <c r="C5" s="21" t="s">
        <v>232</v>
      </c>
      <c r="D5" s="21" t="s">
        <v>388</v>
      </c>
      <c r="E5" s="21" t="s">
        <v>421</v>
      </c>
      <c r="F5" s="21" t="s">
        <v>458</v>
      </c>
      <c r="G5" s="21" t="s">
        <v>521</v>
      </c>
      <c r="H5" s="21" t="s">
        <v>590</v>
      </c>
      <c r="I5" s="21" t="s">
        <v>837</v>
      </c>
    </row>
    <row r="6" spans="1:13" x14ac:dyDescent="0.25">
      <c r="A6" s="17" t="s">
        <v>59</v>
      </c>
      <c r="B6" s="10">
        <v>0.37436742190237654</v>
      </c>
      <c r="C6" s="10">
        <v>0.33910366071772524</v>
      </c>
      <c r="D6" s="10">
        <v>0.35378310079400616</v>
      </c>
      <c r="E6" s="10">
        <v>0.36138280191133354</v>
      </c>
      <c r="F6" s="10">
        <v>0.35924217288369314</v>
      </c>
      <c r="G6" s="10">
        <v>0.35978824888978467</v>
      </c>
      <c r="H6" s="10">
        <v>0.36175659220426415</v>
      </c>
      <c r="I6" s="10">
        <v>0.35725846464513294</v>
      </c>
      <c r="J6" s="115">
        <f>I6/H6-1</f>
        <v>-1.2434127410707596E-2</v>
      </c>
      <c r="K6" s="115">
        <f>SUM(H8:H10)</f>
        <v>0.3124628648681777</v>
      </c>
      <c r="L6" s="115">
        <f>SUM(I8:I10)</f>
        <v>0.32385136650451779</v>
      </c>
      <c r="M6" s="115">
        <f>L6/K6-1</f>
        <v>3.6447536385306734E-2</v>
      </c>
    </row>
    <row r="7" spans="1:13" x14ac:dyDescent="0.25">
      <c r="A7" s="18" t="s">
        <v>526</v>
      </c>
      <c r="B7" s="11">
        <v>0.40003493888396169</v>
      </c>
      <c r="C7" s="11">
        <v>0.4030542076592134</v>
      </c>
      <c r="D7" s="11">
        <v>0.39593753297845624</v>
      </c>
      <c r="E7" s="11">
        <v>0.38134240382625223</v>
      </c>
      <c r="F7" s="11">
        <v>0.36690091300264466</v>
      </c>
      <c r="G7" s="11">
        <v>0.34743634119698097</v>
      </c>
      <c r="H7" s="11">
        <v>0.3257805429275582</v>
      </c>
      <c r="I7" s="11">
        <v>0.31889016885034938</v>
      </c>
      <c r="J7" s="115">
        <f>I7/H7-1</f>
        <v>-2.1150354822574546E-2</v>
      </c>
      <c r="K7" s="78"/>
      <c r="L7" s="78"/>
      <c r="M7" s="78"/>
    </row>
    <row r="8" spans="1:13" x14ac:dyDescent="0.25">
      <c r="A8" s="17" t="s">
        <v>60</v>
      </c>
      <c r="B8" s="10">
        <v>8.5598381207570101E-2</v>
      </c>
      <c r="C8" s="10">
        <v>0.10053643405344727</v>
      </c>
      <c r="D8" s="10">
        <v>0.13177489513554291</v>
      </c>
      <c r="E8" s="10">
        <v>0.16639066089232826</v>
      </c>
      <c r="F8" s="10">
        <v>0.1698602886644397</v>
      </c>
      <c r="G8" s="10">
        <v>0.17061854865094719</v>
      </c>
      <c r="H8" s="10">
        <v>0.17830775356663348</v>
      </c>
      <c r="I8" s="10">
        <v>0.18610219961950247</v>
      </c>
      <c r="J8" s="115">
        <f>I8/H8-1</f>
        <v>4.371344429481705E-2</v>
      </c>
      <c r="K8" s="78"/>
      <c r="L8" s="78"/>
      <c r="M8" s="78"/>
    </row>
    <row r="9" spans="1:13" x14ac:dyDescent="0.25">
      <c r="A9" s="18" t="s">
        <v>61</v>
      </c>
      <c r="B9" s="11">
        <v>3.1388624600035234E-2</v>
      </c>
      <c r="C9" s="11">
        <v>5.3536673646259636E-2</v>
      </c>
      <c r="D9" s="11">
        <v>7.1462350026634439E-2</v>
      </c>
      <c r="E9" s="11">
        <v>8.376595475336053E-2</v>
      </c>
      <c r="F9" s="11">
        <v>9.4439626281249023E-2</v>
      </c>
      <c r="G9" s="11">
        <v>0.11461467491764946</v>
      </c>
      <c r="H9" s="11">
        <v>0.12923931796647181</v>
      </c>
      <c r="I9" s="11">
        <v>0.13364779901343155</v>
      </c>
      <c r="J9" s="115">
        <f>I9/H9-1</f>
        <v>3.4110989722983653E-2</v>
      </c>
      <c r="K9" s="78"/>
      <c r="L9" s="78"/>
      <c r="M9" s="78"/>
    </row>
    <row r="10" spans="1:13" x14ac:dyDescent="0.25">
      <c r="A10" s="17" t="s">
        <v>6</v>
      </c>
      <c r="B10" s="10">
        <v>0.10861063340605648</v>
      </c>
      <c r="C10" s="10">
        <v>0.10376902392335441</v>
      </c>
      <c r="D10" s="10">
        <v>4.704212106536021E-2</v>
      </c>
      <c r="E10" s="10">
        <v>7.118178616725479E-3</v>
      </c>
      <c r="F10" s="10">
        <v>9.5569991679734789E-3</v>
      </c>
      <c r="G10" s="10">
        <v>7.542186344637769E-3</v>
      </c>
      <c r="H10" s="10">
        <v>4.9157933350724159E-3</v>
      </c>
      <c r="I10" s="10">
        <v>4.101367871583772E-3</v>
      </c>
      <c r="J10" s="115">
        <f>I10/H10-1</f>
        <v>-0.1656752853457063</v>
      </c>
      <c r="K10" s="78"/>
      <c r="L10" s="78"/>
      <c r="M10" s="78"/>
    </row>
    <row r="11" spans="1:13" x14ac:dyDescent="0.25">
      <c r="A11" s="16"/>
      <c r="B11" s="9"/>
      <c r="C11" s="9"/>
      <c r="D11" s="9"/>
      <c r="E11" s="9"/>
      <c r="F11" s="9"/>
      <c r="G11" s="9"/>
      <c r="H11" s="9"/>
      <c r="I11" s="9"/>
    </row>
    <row r="12" spans="1:13" x14ac:dyDescent="0.25">
      <c r="B12" s="78" t="str">
        <f t="shared" ref="B12:I12" si="0">RIGHT(B5,4)</f>
        <v>2011</v>
      </c>
      <c r="C12" s="78" t="str">
        <f t="shared" si="0"/>
        <v>2012</v>
      </c>
      <c r="D12" s="78" t="str">
        <f t="shared" si="0"/>
        <v>2013</v>
      </c>
      <c r="E12" s="154" t="str">
        <f t="shared" si="0"/>
        <v>2014</v>
      </c>
      <c r="F12" s="154" t="str">
        <f t="shared" si="0"/>
        <v>2015</v>
      </c>
      <c r="G12" s="154" t="str">
        <f t="shared" si="0"/>
        <v>2016</v>
      </c>
      <c r="H12" s="154" t="str">
        <f t="shared" si="0"/>
        <v>2017</v>
      </c>
      <c r="I12" s="154" t="str">
        <f t="shared" si="0"/>
        <v>2018</v>
      </c>
    </row>
    <row r="13" spans="1:13" x14ac:dyDescent="0.25">
      <c r="H13" s="115">
        <f>SUM(H8:H10)</f>
        <v>0.3124628648681777</v>
      </c>
      <c r="I13" s="115">
        <f>SUM(I8:I10)</f>
        <v>0.32385136650451779</v>
      </c>
    </row>
    <row r="14" spans="1:13" x14ac:dyDescent="0.25">
      <c r="B14" s="31"/>
      <c r="C14" s="31"/>
      <c r="D14" s="31"/>
      <c r="E14" s="31"/>
      <c r="F14" s="31"/>
      <c r="H14" s="78"/>
      <c r="I14" s="115">
        <f>I13/H13-1</f>
        <v>3.6447536385306734E-2</v>
      </c>
    </row>
    <row r="15" spans="1:13" x14ac:dyDescent="0.25">
      <c r="F15" s="31"/>
      <c r="H15" s="78"/>
      <c r="I15" s="78"/>
    </row>
    <row r="24" spans="5:5" x14ac:dyDescent="0.25">
      <c r="E24" s="31"/>
    </row>
  </sheetData>
  <mergeCells count="2">
    <mergeCell ref="A4:I4"/>
    <mergeCell ref="A3:I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3:I13" formulaRange="1"/>
  </ignoredErrors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Plan86"/>
  <dimension ref="A1:H11"/>
  <sheetViews>
    <sheetView showGridLines="0" workbookViewId="0">
      <selection activeCell="A5" sqref="A5:B11"/>
    </sheetView>
  </sheetViews>
  <sheetFormatPr defaultRowHeight="15" x14ac:dyDescent="0.25"/>
  <cols>
    <col min="1" max="1" width="9.28515625" customWidth="1"/>
    <col min="2" max="2" width="35" customWidth="1"/>
  </cols>
  <sheetData>
    <row r="1" spans="1:8" x14ac:dyDescent="0.25">
      <c r="C1" s="78"/>
      <c r="D1" s="78"/>
      <c r="E1" s="78"/>
      <c r="F1" s="78"/>
      <c r="G1" s="78" t="s">
        <v>273</v>
      </c>
      <c r="H1" s="78" t="s">
        <v>1238</v>
      </c>
    </row>
    <row r="3" spans="1:8" x14ac:dyDescent="0.25">
      <c r="A3" s="350" t="str">
        <f>"Tabela Referente à "&amp;G1</f>
        <v>Tabela Referente à Figura 3.27</v>
      </c>
      <c r="B3" s="350"/>
    </row>
    <row r="4" spans="1:8" ht="30.75" customHeight="1" x14ac:dyDescent="0.25">
      <c r="A4" s="351" t="str">
        <f>H1</f>
        <v>Variação no RPK com relação ao ano anterior por empresa – mercado doméstico, 2018</v>
      </c>
      <c r="B4" s="351"/>
    </row>
    <row r="5" spans="1:8" x14ac:dyDescent="0.25">
      <c r="A5" s="1" t="s">
        <v>7</v>
      </c>
      <c r="B5" s="21" t="s">
        <v>231</v>
      </c>
    </row>
    <row r="6" spans="1:8" x14ac:dyDescent="0.25">
      <c r="A6" s="17" t="s">
        <v>60</v>
      </c>
      <c r="B6" s="10">
        <v>8.9444373029831992E-2</v>
      </c>
      <c r="G6" s="65"/>
      <c r="H6" s="31"/>
    </row>
    <row r="7" spans="1:8" x14ac:dyDescent="0.25">
      <c r="A7" s="18" t="s">
        <v>61</v>
      </c>
      <c r="B7" s="11">
        <v>7.9421181168365607E-2</v>
      </c>
      <c r="G7" s="65"/>
      <c r="H7" s="31"/>
    </row>
    <row r="8" spans="1:8" x14ac:dyDescent="0.25">
      <c r="A8" s="17" t="s">
        <v>59</v>
      </c>
      <c r="B8" s="10">
        <v>3.0836661892028161E-2</v>
      </c>
      <c r="G8" s="65"/>
      <c r="H8" s="31"/>
    </row>
    <row r="9" spans="1:8" x14ac:dyDescent="0.25">
      <c r="A9" s="18" t="s">
        <v>526</v>
      </c>
      <c r="B9" s="11">
        <v>2.1738527763534021E-2</v>
      </c>
      <c r="G9" s="65"/>
      <c r="H9" s="31"/>
    </row>
    <row r="10" spans="1:8" x14ac:dyDescent="0.25">
      <c r="A10" s="17" t="s">
        <v>6</v>
      </c>
      <c r="B10" s="10">
        <v>-0.12911884902091708</v>
      </c>
      <c r="G10" s="65"/>
      <c r="H10" s="31"/>
    </row>
    <row r="11" spans="1:8" x14ac:dyDescent="0.25">
      <c r="A11" s="16" t="s">
        <v>10</v>
      </c>
      <c r="B11" s="16">
        <v>4.3815598031232472E-2</v>
      </c>
      <c r="G11" s="65"/>
      <c r="H11" s="3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Plan87"/>
  <dimension ref="A1:H17"/>
  <sheetViews>
    <sheetView showGridLines="0" workbookViewId="0">
      <selection activeCell="H3" sqref="H3"/>
    </sheetView>
  </sheetViews>
  <sheetFormatPr defaultRowHeight="15" x14ac:dyDescent="0.25"/>
  <cols>
    <col min="1" max="1" width="9.28515625" customWidth="1"/>
    <col min="2" max="2" width="43.28515625" customWidth="1"/>
  </cols>
  <sheetData>
    <row r="1" spans="1:8" x14ac:dyDescent="0.25">
      <c r="C1" s="78" t="s">
        <v>11</v>
      </c>
      <c r="D1" s="78"/>
      <c r="E1" s="78"/>
      <c r="F1" s="78" t="s">
        <v>11</v>
      </c>
      <c r="G1" s="78" t="s">
        <v>274</v>
      </c>
      <c r="H1" s="78" t="s">
        <v>1239</v>
      </c>
    </row>
    <row r="3" spans="1:8" x14ac:dyDescent="0.25">
      <c r="A3" s="350" t="str">
        <f>"Tabela Referente à "&amp;G1</f>
        <v>Tabela Referente à Figura 3.28</v>
      </c>
      <c r="B3" s="350"/>
    </row>
    <row r="4" spans="1:8" ht="32.25" customHeight="1" x14ac:dyDescent="0.25">
      <c r="A4" s="351" t="str">
        <f>H1</f>
        <v>Evolução da quantidade de carga paga e correio transportados – mercado doméstico, 2009 a 2018</v>
      </c>
      <c r="B4" s="351"/>
    </row>
    <row r="5" spans="1:8" x14ac:dyDescent="0.25">
      <c r="A5" s="1" t="s">
        <v>20</v>
      </c>
      <c r="B5" s="21" t="s">
        <v>532</v>
      </c>
    </row>
    <row r="6" spans="1:8" x14ac:dyDescent="0.25">
      <c r="A6" s="17">
        <v>2009</v>
      </c>
      <c r="B6" s="7">
        <v>394121514</v>
      </c>
    </row>
    <row r="7" spans="1:8" x14ac:dyDescent="0.25">
      <c r="A7" s="18">
        <v>2010</v>
      </c>
      <c r="B7" s="8">
        <v>480540211</v>
      </c>
    </row>
    <row r="8" spans="1:8" x14ac:dyDescent="0.25">
      <c r="A8" s="17">
        <v>2011</v>
      </c>
      <c r="B8" s="7">
        <v>524880463</v>
      </c>
    </row>
    <row r="9" spans="1:8" x14ac:dyDescent="0.25">
      <c r="A9" s="18">
        <v>2012</v>
      </c>
      <c r="B9" s="8">
        <v>511676562</v>
      </c>
    </row>
    <row r="10" spans="1:8" x14ac:dyDescent="0.25">
      <c r="A10" s="17">
        <v>2013</v>
      </c>
      <c r="B10" s="7">
        <v>521848581</v>
      </c>
    </row>
    <row r="11" spans="1:8" x14ac:dyDescent="0.25">
      <c r="A11" s="18">
        <v>2014</v>
      </c>
      <c r="B11" s="8">
        <v>514861434</v>
      </c>
    </row>
    <row r="12" spans="1:8" x14ac:dyDescent="0.25">
      <c r="A12" s="17">
        <v>2015</v>
      </c>
      <c r="B12" s="7">
        <v>455778877</v>
      </c>
    </row>
    <row r="13" spans="1:8" x14ac:dyDescent="0.25">
      <c r="A13" s="18">
        <v>2016</v>
      </c>
      <c r="B13" s="8">
        <v>418561542</v>
      </c>
    </row>
    <row r="14" spans="1:8" x14ac:dyDescent="0.25">
      <c r="A14" s="17">
        <v>2017</v>
      </c>
      <c r="B14" s="7">
        <v>426270951</v>
      </c>
    </row>
    <row r="15" spans="1:8" x14ac:dyDescent="0.25">
      <c r="A15" s="18">
        <v>2018</v>
      </c>
      <c r="B15" s="8">
        <v>470934272</v>
      </c>
      <c r="C15" s="114" t="str">
        <f>IF((B15/B6-1)&gt;0,"+","")&amp;ROUND((B15/B6-1)*100,1)&amp;"%"</f>
        <v>+19,5%</v>
      </c>
    </row>
    <row r="16" spans="1:8" x14ac:dyDescent="0.25">
      <c r="A16" s="16"/>
      <c r="B16" s="9"/>
    </row>
    <row r="17" spans="2:2" x14ac:dyDescent="0.25">
      <c r="B17" s="114">
        <f>B15/B6-1</f>
        <v>0.19489613043554876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Plan88"/>
  <dimension ref="A1:H16"/>
  <sheetViews>
    <sheetView showGridLines="0" workbookViewId="0">
      <selection activeCell="A5" sqref="A5:B15"/>
    </sheetView>
  </sheetViews>
  <sheetFormatPr defaultRowHeight="15" x14ac:dyDescent="0.25"/>
  <cols>
    <col min="1" max="1" width="16.140625" customWidth="1"/>
    <col min="2" max="2" width="43.5703125" bestFit="1" customWidth="1"/>
  </cols>
  <sheetData>
    <row r="1" spans="1:8" x14ac:dyDescent="0.25">
      <c r="C1" s="78" t="s">
        <v>12</v>
      </c>
      <c r="D1" s="78"/>
      <c r="E1" s="78"/>
      <c r="F1" s="78" t="s">
        <v>12</v>
      </c>
      <c r="G1" s="78" t="s">
        <v>275</v>
      </c>
      <c r="H1" s="78" t="s">
        <v>1431</v>
      </c>
    </row>
    <row r="3" spans="1:8" x14ac:dyDescent="0.25">
      <c r="A3" s="350" t="str">
        <f>"Tabela Referente à "&amp;G1</f>
        <v>Tabela Referente à Figura 3.29</v>
      </c>
      <c r="B3" s="350"/>
    </row>
    <row r="4" spans="1:8" ht="30.75" customHeight="1" x14ac:dyDescent="0.25">
      <c r="A4" s="351" t="str">
        <f>H1</f>
        <v>Variação anual da quantidade de carga paga e correio transportados – mercado doméstico, 2009 a 2018</v>
      </c>
      <c r="B4" s="351"/>
    </row>
    <row r="5" spans="1:8" x14ac:dyDescent="0.25">
      <c r="A5" s="1" t="s">
        <v>20</v>
      </c>
      <c r="B5" s="21" t="s">
        <v>817</v>
      </c>
    </row>
    <row r="6" spans="1:8" x14ac:dyDescent="0.25">
      <c r="A6" s="17">
        <v>2009</v>
      </c>
      <c r="B6" s="10">
        <v>-6.4730642486811388E-2</v>
      </c>
    </row>
    <row r="7" spans="1:8" x14ac:dyDescent="0.25">
      <c r="A7" s="18">
        <v>2010</v>
      </c>
      <c r="B7" s="11">
        <v>0.21926916935572313</v>
      </c>
    </row>
    <row r="8" spans="1:8" x14ac:dyDescent="0.25">
      <c r="A8" s="17">
        <v>2011</v>
      </c>
      <c r="B8" s="10">
        <v>9.2271678800257564E-2</v>
      </c>
    </row>
    <row r="9" spans="1:8" x14ac:dyDescent="0.25">
      <c r="A9" s="18">
        <v>2012</v>
      </c>
      <c r="B9" s="11">
        <v>-2.5156015380210485E-2</v>
      </c>
    </row>
    <row r="10" spans="1:8" x14ac:dyDescent="0.25">
      <c r="A10" s="17">
        <v>2013</v>
      </c>
      <c r="B10" s="10">
        <v>1.9879782963363485E-2</v>
      </c>
    </row>
    <row r="11" spans="1:8" x14ac:dyDescent="0.25">
      <c r="A11" s="18">
        <v>2014</v>
      </c>
      <c r="B11" s="11">
        <v>-1.3389222955461098E-2</v>
      </c>
    </row>
    <row r="12" spans="1:8" x14ac:dyDescent="0.25">
      <c r="A12" s="17">
        <v>2015</v>
      </c>
      <c r="B12" s="10">
        <v>-0.11475428746135218</v>
      </c>
    </row>
    <row r="13" spans="1:8" x14ac:dyDescent="0.25">
      <c r="A13" s="18">
        <v>2016</v>
      </c>
      <c r="B13" s="11">
        <v>-8.1656559525025998E-2</v>
      </c>
    </row>
    <row r="14" spans="1:8" x14ac:dyDescent="0.25">
      <c r="A14" s="17">
        <v>2017</v>
      </c>
      <c r="B14" s="10">
        <v>1.841881832516758E-2</v>
      </c>
    </row>
    <row r="15" spans="1:8" x14ac:dyDescent="0.25">
      <c r="A15" s="18">
        <v>2018</v>
      </c>
      <c r="B15" s="11">
        <v>0.10477683476958298</v>
      </c>
    </row>
    <row r="16" spans="1:8" x14ac:dyDescent="0.25">
      <c r="A16" s="16"/>
      <c r="B16" s="9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Plan89"/>
  <dimension ref="A1:H16"/>
  <sheetViews>
    <sheetView showGridLines="0" workbookViewId="0">
      <selection activeCell="A5" sqref="A5:B16"/>
    </sheetView>
  </sheetViews>
  <sheetFormatPr defaultRowHeight="15" x14ac:dyDescent="0.25"/>
  <cols>
    <col min="1" max="1" width="19.140625" customWidth="1"/>
    <col min="2" max="2" width="46" bestFit="1" customWidth="1"/>
  </cols>
  <sheetData>
    <row r="1" spans="1:8" x14ac:dyDescent="0.25">
      <c r="C1" s="78" t="s">
        <v>13</v>
      </c>
      <c r="D1" s="78"/>
      <c r="E1" s="78"/>
      <c r="F1" s="78" t="s">
        <v>13</v>
      </c>
      <c r="G1" s="78" t="s">
        <v>276</v>
      </c>
      <c r="H1" s="78" t="s">
        <v>1240</v>
      </c>
    </row>
    <row r="3" spans="1:8" x14ac:dyDescent="0.25">
      <c r="A3" s="350" t="str">
        <f>"Tabela Referente à "&amp;G1</f>
        <v>Tabela Referente à Figura 3.30</v>
      </c>
      <c r="B3" s="350"/>
    </row>
    <row r="4" spans="1:8" ht="30" customHeight="1" x14ac:dyDescent="0.25">
      <c r="A4" s="351" t="str">
        <f>H1</f>
        <v>Participação das principais empresas em termos de carga paga e correio transportados – mercado doméstico, 2018</v>
      </c>
      <c r="B4" s="351"/>
    </row>
    <row r="5" spans="1:8" x14ac:dyDescent="0.25">
      <c r="A5" s="1" t="s">
        <v>7</v>
      </c>
      <c r="B5" s="21" t="s">
        <v>591</v>
      </c>
    </row>
    <row r="6" spans="1:8" x14ac:dyDescent="0.25">
      <c r="A6" s="27" t="s">
        <v>526</v>
      </c>
      <c r="B6" s="7">
        <v>127283664</v>
      </c>
      <c r="C6" s="78" t="s">
        <v>526</v>
      </c>
    </row>
    <row r="7" spans="1:8" x14ac:dyDescent="0.25">
      <c r="A7" s="28" t="s">
        <v>59</v>
      </c>
      <c r="B7" s="8">
        <v>103942614</v>
      </c>
      <c r="C7" s="78" t="s">
        <v>372</v>
      </c>
    </row>
    <row r="8" spans="1:8" x14ac:dyDescent="0.25">
      <c r="A8" s="27" t="s">
        <v>61</v>
      </c>
      <c r="B8" s="7">
        <v>66473067</v>
      </c>
      <c r="C8" s="78" t="s">
        <v>389</v>
      </c>
    </row>
    <row r="9" spans="1:8" x14ac:dyDescent="0.25">
      <c r="A9" s="28" t="s">
        <v>414</v>
      </c>
      <c r="B9" s="8">
        <v>56194746</v>
      </c>
      <c r="C9" s="78" t="s">
        <v>374</v>
      </c>
    </row>
    <row r="10" spans="1:8" x14ac:dyDescent="0.25">
      <c r="A10" s="27" t="s">
        <v>60</v>
      </c>
      <c r="B10" s="7">
        <v>57817694</v>
      </c>
      <c r="C10" s="78" t="s">
        <v>373</v>
      </c>
    </row>
    <row r="11" spans="1:8" x14ac:dyDescent="0.25">
      <c r="A11" s="28" t="s">
        <v>102</v>
      </c>
      <c r="B11" s="8">
        <v>35839967</v>
      </c>
    </row>
    <row r="12" spans="1:8" x14ac:dyDescent="0.25">
      <c r="A12" s="27" t="s">
        <v>399</v>
      </c>
      <c r="B12" s="7">
        <v>17714172</v>
      </c>
    </row>
    <row r="13" spans="1:8" x14ac:dyDescent="0.25">
      <c r="A13" s="28" t="s">
        <v>721</v>
      </c>
      <c r="B13" s="8">
        <v>4438779</v>
      </c>
    </row>
    <row r="14" spans="1:8" x14ac:dyDescent="0.25">
      <c r="A14" s="27" t="s">
        <v>818</v>
      </c>
      <c r="B14" s="7">
        <v>1223666</v>
      </c>
    </row>
    <row r="15" spans="1:8" x14ac:dyDescent="0.25">
      <c r="A15" s="28" t="s">
        <v>6</v>
      </c>
      <c r="B15" s="8">
        <v>5903</v>
      </c>
    </row>
    <row r="16" spans="1:8" x14ac:dyDescent="0.25">
      <c r="A16" s="16" t="s">
        <v>10</v>
      </c>
      <c r="B16" s="9">
        <v>470934272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Plan90"/>
  <dimension ref="A1:H16"/>
  <sheetViews>
    <sheetView showGridLines="0" workbookViewId="0">
      <selection activeCell="E17" sqref="E17"/>
    </sheetView>
  </sheetViews>
  <sheetFormatPr defaultRowHeight="15" x14ac:dyDescent="0.25"/>
  <cols>
    <col min="1" max="1" width="25" customWidth="1"/>
    <col min="2" max="2" width="44.85546875" bestFit="1" customWidth="1"/>
  </cols>
  <sheetData>
    <row r="1" spans="1:8" x14ac:dyDescent="0.25">
      <c r="C1" s="78" t="s">
        <v>14</v>
      </c>
      <c r="D1" s="78"/>
      <c r="E1" s="78"/>
      <c r="F1" s="78" t="s">
        <v>14</v>
      </c>
      <c r="G1" s="78" t="s">
        <v>277</v>
      </c>
      <c r="H1" s="78" t="s">
        <v>1241</v>
      </c>
    </row>
    <row r="3" spans="1:8" x14ac:dyDescent="0.25">
      <c r="A3" s="350" t="str">
        <f>"Tabela Referente à "&amp;G1</f>
        <v>Tabela Referente à Figura 3.31</v>
      </c>
      <c r="B3" s="350"/>
    </row>
    <row r="4" spans="1:8" ht="35.25" customHeight="1" x14ac:dyDescent="0.25">
      <c r="A4" s="351" t="str">
        <f>H1</f>
        <v>Variação da carga paga e correio transportados com relação ao ano anterior por empresa – mercado doméstico, 2018</v>
      </c>
      <c r="B4" s="351"/>
    </row>
    <row r="5" spans="1:8" x14ac:dyDescent="0.25">
      <c r="A5" s="1" t="s">
        <v>7</v>
      </c>
      <c r="B5" s="21" t="s">
        <v>591</v>
      </c>
    </row>
    <row r="6" spans="1:8" x14ac:dyDescent="0.25">
      <c r="A6" s="17" t="s">
        <v>526</v>
      </c>
      <c r="B6" s="10">
        <v>8.1025616461147809E-2</v>
      </c>
    </row>
    <row r="7" spans="1:8" x14ac:dyDescent="0.25">
      <c r="A7" s="18" t="s">
        <v>59</v>
      </c>
      <c r="B7" s="11">
        <v>6.1725442682869724E-2</v>
      </c>
    </row>
    <row r="8" spans="1:8" x14ac:dyDescent="0.25">
      <c r="A8" s="17" t="s">
        <v>61</v>
      </c>
      <c r="B8" s="10">
        <v>0.21830984069798842</v>
      </c>
    </row>
    <row r="9" spans="1:8" x14ac:dyDescent="0.25">
      <c r="A9" s="18" t="s">
        <v>414</v>
      </c>
      <c r="B9" s="11">
        <v>-1.4045515422910326E-2</v>
      </c>
    </row>
    <row r="10" spans="1:8" x14ac:dyDescent="0.25">
      <c r="A10" s="17" t="s">
        <v>60</v>
      </c>
      <c r="B10" s="10">
        <v>0.42945719476453648</v>
      </c>
    </row>
    <row r="11" spans="1:8" x14ac:dyDescent="0.25">
      <c r="A11" s="18" t="s">
        <v>102</v>
      </c>
      <c r="B11" s="11">
        <v>-8.8139582958320584E-2</v>
      </c>
    </row>
    <row r="12" spans="1:8" x14ac:dyDescent="0.25">
      <c r="A12" s="17" t="s">
        <v>399</v>
      </c>
      <c r="B12" s="10">
        <v>-1.809957384693639E-2</v>
      </c>
    </row>
    <row r="13" spans="1:8" x14ac:dyDescent="0.25">
      <c r="A13" s="18" t="s">
        <v>721</v>
      </c>
      <c r="B13" s="11">
        <v>5.7449934279006509</v>
      </c>
    </row>
    <row r="14" spans="1:8" x14ac:dyDescent="0.25">
      <c r="A14" s="17" t="s">
        <v>818</v>
      </c>
      <c r="B14" s="10" t="s">
        <v>369</v>
      </c>
    </row>
    <row r="15" spans="1:8" x14ac:dyDescent="0.25">
      <c r="A15" s="18" t="s">
        <v>6</v>
      </c>
      <c r="B15" s="11">
        <v>-0.99048684225369821</v>
      </c>
    </row>
    <row r="16" spans="1:8" x14ac:dyDescent="0.25">
      <c r="A16" s="16" t="s">
        <v>10</v>
      </c>
      <c r="B16" s="16">
        <v>0.10477683476958299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Plan91"/>
  <dimension ref="A1:H27"/>
  <sheetViews>
    <sheetView showGridLines="0" workbookViewId="0">
      <selection activeCell="A5" sqref="A5:C25"/>
    </sheetView>
  </sheetViews>
  <sheetFormatPr defaultRowHeight="15" x14ac:dyDescent="0.25"/>
  <cols>
    <col min="1" max="1" width="45.5703125" bestFit="1" customWidth="1"/>
    <col min="2" max="2" width="16.28515625" customWidth="1"/>
    <col min="3" max="3" width="24" customWidth="1"/>
  </cols>
  <sheetData>
    <row r="1" spans="1:8" x14ac:dyDescent="0.25">
      <c r="C1" s="78" t="s">
        <v>15</v>
      </c>
      <c r="D1" s="78"/>
      <c r="E1" s="78"/>
      <c r="F1" s="78" t="s">
        <v>15</v>
      </c>
      <c r="G1" s="78" t="s">
        <v>278</v>
      </c>
      <c r="H1" s="78" t="s">
        <v>1242</v>
      </c>
    </row>
    <row r="3" spans="1:8" x14ac:dyDescent="0.25">
      <c r="A3" s="350" t="str">
        <f>"Tabela Referente à "&amp;G1</f>
        <v>Tabela Referente à Figura 3.32</v>
      </c>
      <c r="B3" s="350"/>
      <c r="C3" s="350"/>
    </row>
    <row r="4" spans="1:8" ht="15" customHeight="1" x14ac:dyDescent="0.25">
      <c r="A4" s="351" t="str">
        <f>H1</f>
        <v>Carga paga e correio transportados nas 20 principais rotas – mercado doméstico, 2017 e 2018</v>
      </c>
      <c r="B4" s="351"/>
      <c r="C4" s="351"/>
    </row>
    <row r="5" spans="1:8" x14ac:dyDescent="0.25">
      <c r="A5" s="1" t="s">
        <v>831</v>
      </c>
      <c r="B5" s="21" t="s">
        <v>592</v>
      </c>
      <c r="C5" s="21" t="s">
        <v>838</v>
      </c>
    </row>
    <row r="6" spans="1:8" x14ac:dyDescent="0.25">
      <c r="A6" s="17" t="s">
        <v>593</v>
      </c>
      <c r="B6" s="25">
        <v>35460388</v>
      </c>
      <c r="C6" s="7">
        <v>35433868</v>
      </c>
    </row>
    <row r="7" spans="1:8" x14ac:dyDescent="0.25">
      <c r="A7" s="18" t="s">
        <v>594</v>
      </c>
      <c r="B7" s="26">
        <v>33251060</v>
      </c>
      <c r="C7" s="8">
        <v>33479226</v>
      </c>
    </row>
    <row r="8" spans="1:8" x14ac:dyDescent="0.25">
      <c r="A8" s="17" t="s">
        <v>595</v>
      </c>
      <c r="B8" s="25">
        <v>12964968</v>
      </c>
      <c r="C8" s="7">
        <v>13700758</v>
      </c>
    </row>
    <row r="9" spans="1:8" x14ac:dyDescent="0.25">
      <c r="A9" s="18" t="s">
        <v>597</v>
      </c>
      <c r="B9" s="26">
        <v>11114829</v>
      </c>
      <c r="C9" s="8">
        <v>12594792</v>
      </c>
    </row>
    <row r="10" spans="1:8" x14ac:dyDescent="0.25">
      <c r="A10" s="17" t="s">
        <v>596</v>
      </c>
      <c r="B10" s="25">
        <v>11499526</v>
      </c>
      <c r="C10" s="7">
        <v>12027172</v>
      </c>
    </row>
    <row r="11" spans="1:8" x14ac:dyDescent="0.25">
      <c r="A11" s="18" t="s">
        <v>576</v>
      </c>
      <c r="B11" s="26">
        <v>8008362</v>
      </c>
      <c r="C11" s="8">
        <v>8894612</v>
      </c>
    </row>
    <row r="12" spans="1:8" x14ac:dyDescent="0.25">
      <c r="A12" s="17" t="s">
        <v>578</v>
      </c>
      <c r="B12" s="25">
        <v>7698073</v>
      </c>
      <c r="C12" s="7">
        <v>8611562</v>
      </c>
    </row>
    <row r="13" spans="1:8" x14ac:dyDescent="0.25">
      <c r="A13" s="18" t="s">
        <v>574</v>
      </c>
      <c r="B13" s="26">
        <v>8259567</v>
      </c>
      <c r="C13" s="8">
        <v>8456501</v>
      </c>
    </row>
    <row r="14" spans="1:8" x14ac:dyDescent="0.25">
      <c r="A14" s="17" t="s">
        <v>599</v>
      </c>
      <c r="B14" s="25">
        <v>6984696</v>
      </c>
      <c r="C14" s="7">
        <v>8185985</v>
      </c>
    </row>
    <row r="15" spans="1:8" x14ac:dyDescent="0.25">
      <c r="A15" s="18" t="s">
        <v>600</v>
      </c>
      <c r="B15" s="26">
        <v>6525444</v>
      </c>
      <c r="C15" s="8">
        <v>7793339</v>
      </c>
    </row>
    <row r="16" spans="1:8" x14ac:dyDescent="0.25">
      <c r="A16" s="17" t="s">
        <v>598</v>
      </c>
      <c r="B16" s="25">
        <v>7454430</v>
      </c>
      <c r="C16" s="7">
        <v>7316105</v>
      </c>
    </row>
    <row r="17" spans="1:3" x14ac:dyDescent="0.25">
      <c r="A17" s="18" t="s">
        <v>601</v>
      </c>
      <c r="B17" s="26">
        <v>6429227</v>
      </c>
      <c r="C17" s="8">
        <v>6797539</v>
      </c>
    </row>
    <row r="18" spans="1:3" x14ac:dyDescent="0.25">
      <c r="A18" s="17" t="s">
        <v>575</v>
      </c>
      <c r="B18" s="25">
        <v>4893604</v>
      </c>
      <c r="C18" s="7">
        <v>6063053</v>
      </c>
    </row>
    <row r="19" spans="1:3" x14ac:dyDescent="0.25">
      <c r="A19" s="18" t="s">
        <v>602</v>
      </c>
      <c r="B19" s="26">
        <v>6175652</v>
      </c>
      <c r="C19" s="8">
        <v>5937878</v>
      </c>
    </row>
    <row r="20" spans="1:3" x14ac:dyDescent="0.25">
      <c r="A20" s="17" t="s">
        <v>604</v>
      </c>
      <c r="B20" s="25">
        <v>4075460</v>
      </c>
      <c r="C20" s="7">
        <v>5212248</v>
      </c>
    </row>
    <row r="21" spans="1:3" x14ac:dyDescent="0.25">
      <c r="A21" s="18" t="s">
        <v>603</v>
      </c>
      <c r="B21" s="26">
        <v>5238721</v>
      </c>
      <c r="C21" s="8">
        <v>4777204</v>
      </c>
    </row>
    <row r="22" spans="1:3" x14ac:dyDescent="0.25">
      <c r="A22" s="17" t="s">
        <v>585</v>
      </c>
      <c r="B22" s="25">
        <v>4121719</v>
      </c>
      <c r="C22" s="7">
        <v>4587257</v>
      </c>
    </row>
    <row r="23" spans="1:3" x14ac:dyDescent="0.25">
      <c r="A23" s="18" t="s">
        <v>847</v>
      </c>
      <c r="B23" s="26">
        <v>2078924</v>
      </c>
      <c r="C23" s="8">
        <v>4440719</v>
      </c>
    </row>
    <row r="24" spans="1:3" x14ac:dyDescent="0.25">
      <c r="A24" s="17" t="s">
        <v>582</v>
      </c>
      <c r="B24" s="25">
        <v>3845547</v>
      </c>
      <c r="C24" s="7">
        <v>4352975</v>
      </c>
    </row>
    <row r="25" spans="1:3" x14ac:dyDescent="0.25">
      <c r="A25" s="18" t="s">
        <v>839</v>
      </c>
      <c r="B25" s="26">
        <v>3248348</v>
      </c>
      <c r="C25" s="8">
        <v>4172151</v>
      </c>
    </row>
    <row r="26" spans="1:3" x14ac:dyDescent="0.25">
      <c r="A26" s="1"/>
      <c r="B26" s="1"/>
      <c r="C26" s="21"/>
    </row>
    <row r="27" spans="1:3" x14ac:dyDescent="0.25">
      <c r="B27" s="78" t="str">
        <f>LEFT(B5,4)</f>
        <v>2017</v>
      </c>
      <c r="C27" s="78" t="str">
        <f>LEFT(C5,4)</f>
        <v>2018</v>
      </c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95"/>
  <dimension ref="A1:H18"/>
  <sheetViews>
    <sheetView showGridLines="0" workbookViewId="0">
      <selection activeCell="A5" sqref="A5:H16"/>
    </sheetView>
  </sheetViews>
  <sheetFormatPr defaultRowHeight="15" x14ac:dyDescent="0.25"/>
  <cols>
    <col min="1" max="1" width="13.5703125" customWidth="1"/>
    <col min="2" max="4" width="12.42578125" customWidth="1"/>
    <col min="5" max="5" width="16.7109375" customWidth="1"/>
    <col min="6" max="8" width="12.42578125" customWidth="1"/>
  </cols>
  <sheetData>
    <row r="1" spans="1:8" x14ac:dyDescent="0.25">
      <c r="C1" s="78"/>
      <c r="D1" s="78"/>
      <c r="E1" s="78"/>
      <c r="F1" s="78"/>
      <c r="G1" s="78" t="s">
        <v>246</v>
      </c>
      <c r="H1" s="78" t="s">
        <v>732</v>
      </c>
    </row>
    <row r="3" spans="1:8" x14ac:dyDescent="0.25">
      <c r="A3" s="350" t="str">
        <f>"Tabela "&amp;RIGHT(G1,3)</f>
        <v>Tabela 2.1</v>
      </c>
      <c r="B3" s="350"/>
      <c r="C3" s="350"/>
      <c r="D3" s="350"/>
      <c r="E3" s="350"/>
      <c r="F3" s="350"/>
      <c r="G3" s="350"/>
      <c r="H3" s="350"/>
    </row>
    <row r="4" spans="1:8" ht="16.5" customHeight="1" x14ac:dyDescent="0.25">
      <c r="A4" s="352" t="str">
        <f>H1</f>
        <v>Distribuição de empregados por categoria e empresa – empresas aéreas brasileiras, 2017</v>
      </c>
      <c r="B4" s="352"/>
      <c r="C4" s="352"/>
      <c r="D4" s="352"/>
      <c r="E4" s="352"/>
      <c r="F4" s="352"/>
      <c r="G4" s="352"/>
      <c r="H4" s="352"/>
    </row>
    <row r="5" spans="1:8" ht="51.75" customHeight="1" x14ac:dyDescent="0.25">
      <c r="A5" s="124" t="s">
        <v>7</v>
      </c>
      <c r="B5" s="122" t="s">
        <v>5</v>
      </c>
      <c r="C5" s="122" t="s">
        <v>429</v>
      </c>
      <c r="D5" s="122" t="s">
        <v>719</v>
      </c>
      <c r="E5" s="122" t="s">
        <v>430</v>
      </c>
      <c r="F5" s="122" t="s">
        <v>431</v>
      </c>
      <c r="G5" s="123" t="s">
        <v>63</v>
      </c>
      <c r="H5" s="122" t="s">
        <v>484</v>
      </c>
    </row>
    <row r="6" spans="1:8" x14ac:dyDescent="0.25">
      <c r="A6" s="15" t="s">
        <v>60</v>
      </c>
      <c r="B6" s="125">
        <v>1724</v>
      </c>
      <c r="C6" s="125">
        <v>0</v>
      </c>
      <c r="D6" s="125">
        <v>2560</v>
      </c>
      <c r="E6" s="125">
        <v>1971</v>
      </c>
      <c r="F6" s="125">
        <v>3734</v>
      </c>
      <c r="G6" s="125">
        <v>2079</v>
      </c>
      <c r="H6" s="125">
        <v>12068</v>
      </c>
    </row>
    <row r="7" spans="1:8" x14ac:dyDescent="0.25">
      <c r="A7" s="14" t="s">
        <v>59</v>
      </c>
      <c r="B7" s="126">
        <v>1425</v>
      </c>
      <c r="C7" s="126">
        <v>0</v>
      </c>
      <c r="D7" s="126">
        <v>2738</v>
      </c>
      <c r="E7" s="126">
        <v>1790</v>
      </c>
      <c r="F7" s="126">
        <v>4286</v>
      </c>
      <c r="G7" s="126">
        <v>2010</v>
      </c>
      <c r="H7" s="126">
        <v>12249</v>
      </c>
    </row>
    <row r="8" spans="1:8" x14ac:dyDescent="0.25">
      <c r="A8" s="15" t="s">
        <v>102</v>
      </c>
      <c r="B8" s="125">
        <v>76</v>
      </c>
      <c r="C8" s="125">
        <v>0</v>
      </c>
      <c r="D8" s="125">
        <v>0</v>
      </c>
      <c r="E8" s="125">
        <v>38</v>
      </c>
      <c r="F8" s="125">
        <v>11</v>
      </c>
      <c r="G8" s="125">
        <v>81</v>
      </c>
      <c r="H8" s="125">
        <v>206</v>
      </c>
    </row>
    <row r="9" spans="1:8" x14ac:dyDescent="0.25">
      <c r="A9" s="14" t="s">
        <v>721</v>
      </c>
      <c r="B9" s="126">
        <v>24</v>
      </c>
      <c r="C9" s="126">
        <v>0</v>
      </c>
      <c r="D9" s="126">
        <v>0</v>
      </c>
      <c r="E9" s="126">
        <v>25</v>
      </c>
      <c r="F9" s="126">
        <v>8</v>
      </c>
      <c r="G9" s="126">
        <v>143</v>
      </c>
      <c r="H9" s="126">
        <v>200</v>
      </c>
    </row>
    <row r="10" spans="1:8" x14ac:dyDescent="0.25">
      <c r="A10" s="15" t="s">
        <v>818</v>
      </c>
      <c r="B10" s="125">
        <v>67</v>
      </c>
      <c r="C10" s="125">
        <v>0</v>
      </c>
      <c r="D10" s="125">
        <v>0</v>
      </c>
      <c r="E10" s="125">
        <v>15</v>
      </c>
      <c r="F10" s="125">
        <v>0</v>
      </c>
      <c r="G10" s="125">
        <v>56</v>
      </c>
      <c r="H10" s="125">
        <v>138</v>
      </c>
    </row>
    <row r="11" spans="1:8" x14ac:dyDescent="0.25">
      <c r="A11" s="14" t="s">
        <v>394</v>
      </c>
      <c r="B11" s="126">
        <v>19</v>
      </c>
      <c r="C11" s="126">
        <v>0</v>
      </c>
      <c r="D11" s="126">
        <v>20</v>
      </c>
      <c r="E11" s="126">
        <v>27</v>
      </c>
      <c r="F11" s="126">
        <v>43</v>
      </c>
      <c r="G11" s="126">
        <v>93</v>
      </c>
      <c r="H11" s="126">
        <v>202</v>
      </c>
    </row>
    <row r="12" spans="1:8" x14ac:dyDescent="0.25">
      <c r="A12" s="15" t="s">
        <v>62</v>
      </c>
      <c r="B12" s="125">
        <v>78</v>
      </c>
      <c r="C12" s="125">
        <v>0</v>
      </c>
      <c r="D12" s="125">
        <v>96</v>
      </c>
      <c r="E12" s="125">
        <v>92</v>
      </c>
      <c r="F12" s="125">
        <v>169</v>
      </c>
      <c r="G12" s="125">
        <v>164</v>
      </c>
      <c r="H12" s="125">
        <v>599</v>
      </c>
    </row>
    <row r="13" spans="1:8" x14ac:dyDescent="0.25">
      <c r="A13" s="14" t="s">
        <v>414</v>
      </c>
      <c r="B13" s="126">
        <v>59</v>
      </c>
      <c r="C13" s="126">
        <v>2</v>
      </c>
      <c r="D13" s="126">
        <v>15</v>
      </c>
      <c r="E13" s="126">
        <v>137</v>
      </c>
      <c r="F13" s="126">
        <v>0</v>
      </c>
      <c r="G13" s="126">
        <v>85</v>
      </c>
      <c r="H13" s="126">
        <v>298</v>
      </c>
    </row>
    <row r="14" spans="1:8" x14ac:dyDescent="0.25">
      <c r="A14" s="15" t="s">
        <v>526</v>
      </c>
      <c r="B14" s="125">
        <v>2015</v>
      </c>
      <c r="C14" s="125">
        <v>0</v>
      </c>
      <c r="D14" s="125">
        <v>4643</v>
      </c>
      <c r="E14" s="125">
        <v>2927</v>
      </c>
      <c r="F14" s="125">
        <v>810</v>
      </c>
      <c r="G14" s="125">
        <v>8431</v>
      </c>
      <c r="H14" s="125">
        <v>18826</v>
      </c>
    </row>
    <row r="15" spans="1:8" x14ac:dyDescent="0.25">
      <c r="A15" s="14" t="s">
        <v>399</v>
      </c>
      <c r="B15" s="126">
        <v>16</v>
      </c>
      <c r="C15" s="126">
        <v>17</v>
      </c>
      <c r="D15" s="126">
        <v>7</v>
      </c>
      <c r="E15" s="126">
        <v>49</v>
      </c>
      <c r="F15" s="126">
        <v>0</v>
      </c>
      <c r="G15" s="126">
        <v>95</v>
      </c>
      <c r="H15" s="126">
        <v>184</v>
      </c>
    </row>
    <row r="16" spans="1:8" x14ac:dyDescent="0.25">
      <c r="A16" s="16" t="s">
        <v>10</v>
      </c>
      <c r="B16" s="127">
        <v>5503</v>
      </c>
      <c r="C16" s="127">
        <v>19</v>
      </c>
      <c r="D16" s="127">
        <v>10079</v>
      </c>
      <c r="E16" s="127">
        <v>7071</v>
      </c>
      <c r="F16" s="127">
        <v>9061</v>
      </c>
      <c r="G16" s="127">
        <v>13237</v>
      </c>
      <c r="H16" s="127">
        <v>44970</v>
      </c>
    </row>
    <row r="17" spans="1:8" x14ac:dyDescent="0.25">
      <c r="A17" s="307"/>
      <c r="B17" s="307"/>
      <c r="C17" s="307"/>
      <c r="D17" s="307"/>
      <c r="E17" s="307"/>
      <c r="F17" s="307"/>
      <c r="G17" s="307"/>
      <c r="H17" s="307"/>
    </row>
    <row r="18" spans="1:8" x14ac:dyDescent="0.25">
      <c r="A18" s="307"/>
      <c r="B18" s="307"/>
      <c r="C18" s="307"/>
      <c r="D18" s="307"/>
      <c r="E18" s="307"/>
      <c r="F18" s="307"/>
      <c r="G18" s="307"/>
      <c r="H18" s="307"/>
    </row>
  </sheetData>
  <mergeCells count="2">
    <mergeCell ref="A4:H4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Plan92"/>
  <dimension ref="A1:H34"/>
  <sheetViews>
    <sheetView showGridLines="0" topLeftCell="A4" workbookViewId="0">
      <selection activeCell="A5" sqref="A5:C32"/>
    </sheetView>
  </sheetViews>
  <sheetFormatPr defaultRowHeight="15" x14ac:dyDescent="0.25"/>
  <cols>
    <col min="1" max="1" width="30.85546875" customWidth="1"/>
    <col min="2" max="2" width="12.28515625" customWidth="1"/>
    <col min="3" max="3" width="31" customWidth="1"/>
  </cols>
  <sheetData>
    <row r="1" spans="1:8" x14ac:dyDescent="0.25">
      <c r="C1" s="78"/>
      <c r="D1" s="78"/>
      <c r="E1" s="78"/>
      <c r="F1" s="78" t="s">
        <v>16</v>
      </c>
      <c r="G1" s="78" t="s">
        <v>279</v>
      </c>
      <c r="H1" s="78" t="s">
        <v>1243</v>
      </c>
    </row>
    <row r="2" spans="1:8" x14ac:dyDescent="0.25">
      <c r="C2" s="211"/>
    </row>
    <row r="3" spans="1:8" x14ac:dyDescent="0.25">
      <c r="A3" s="350" t="str">
        <f>"Tabela Referente à "&amp;G1</f>
        <v>Tabela Referente à Figura 3.33</v>
      </c>
      <c r="B3" s="350"/>
      <c r="C3" s="350"/>
    </row>
    <row r="4" spans="1:8" ht="19.5" customHeight="1" x14ac:dyDescent="0.25">
      <c r="A4" s="353" t="str">
        <f>H1</f>
        <v>Carga e correio despachados por unidade da federação – mercado doméstico, 2018</v>
      </c>
      <c r="B4" s="353"/>
      <c r="C4" s="353"/>
    </row>
    <row r="5" spans="1:8" x14ac:dyDescent="0.25">
      <c r="A5" s="1" t="s">
        <v>428</v>
      </c>
      <c r="B5" s="21" t="s">
        <v>592</v>
      </c>
      <c r="C5" s="21" t="s">
        <v>838</v>
      </c>
    </row>
    <row r="6" spans="1:8" x14ac:dyDescent="0.25">
      <c r="A6" s="17" t="s">
        <v>76</v>
      </c>
      <c r="B6" s="7">
        <v>172188541</v>
      </c>
      <c r="C6" s="7">
        <v>190691537</v>
      </c>
    </row>
    <row r="7" spans="1:8" x14ac:dyDescent="0.25">
      <c r="A7" s="18" t="s">
        <v>100</v>
      </c>
      <c r="B7" s="8">
        <v>41689248</v>
      </c>
      <c r="C7" s="8">
        <v>44510172</v>
      </c>
    </row>
    <row r="8" spans="1:8" x14ac:dyDescent="0.25">
      <c r="A8" s="17" t="s">
        <v>74</v>
      </c>
      <c r="B8" s="7">
        <v>41899006</v>
      </c>
      <c r="C8" s="7">
        <v>44372449</v>
      </c>
    </row>
    <row r="9" spans="1:8" x14ac:dyDescent="0.25">
      <c r="A9" s="18" t="s">
        <v>83</v>
      </c>
      <c r="B9" s="8">
        <v>27757530</v>
      </c>
      <c r="C9" s="8">
        <v>28257119</v>
      </c>
    </row>
    <row r="10" spans="1:8" x14ac:dyDescent="0.25">
      <c r="A10" s="17" t="s">
        <v>93</v>
      </c>
      <c r="B10" s="7">
        <v>20437831</v>
      </c>
      <c r="C10" s="7">
        <v>23140144</v>
      </c>
    </row>
    <row r="11" spans="1:8" x14ac:dyDescent="0.25">
      <c r="A11" s="18" t="s">
        <v>90</v>
      </c>
      <c r="B11" s="8">
        <v>18853707</v>
      </c>
      <c r="C11" s="8">
        <v>20057868</v>
      </c>
    </row>
    <row r="12" spans="1:8" x14ac:dyDescent="0.25">
      <c r="A12" s="17" t="s">
        <v>75</v>
      </c>
      <c r="B12" s="7">
        <v>14491524</v>
      </c>
      <c r="C12" s="7">
        <v>18213795</v>
      </c>
    </row>
    <row r="13" spans="1:8" x14ac:dyDescent="0.25">
      <c r="A13" s="18" t="s">
        <v>78</v>
      </c>
      <c r="B13" s="8">
        <v>13609510</v>
      </c>
      <c r="C13" s="8">
        <v>15522628</v>
      </c>
    </row>
    <row r="14" spans="1:8" x14ac:dyDescent="0.25">
      <c r="A14" s="17" t="s">
        <v>94</v>
      </c>
      <c r="B14" s="7">
        <v>13400216</v>
      </c>
      <c r="C14" s="7">
        <v>15243564</v>
      </c>
    </row>
    <row r="15" spans="1:8" x14ac:dyDescent="0.25">
      <c r="A15" s="18" t="s">
        <v>81</v>
      </c>
      <c r="B15" s="8">
        <v>11087389</v>
      </c>
      <c r="C15" s="8">
        <v>13972517</v>
      </c>
    </row>
    <row r="16" spans="1:8" x14ac:dyDescent="0.25">
      <c r="A16" s="17" t="s">
        <v>82</v>
      </c>
      <c r="B16" s="7">
        <v>11221096</v>
      </c>
      <c r="C16" s="7">
        <v>12542134</v>
      </c>
    </row>
    <row r="17" spans="1:3" x14ac:dyDescent="0.25">
      <c r="A17" s="18" t="s">
        <v>77</v>
      </c>
      <c r="B17" s="8">
        <v>11938272</v>
      </c>
      <c r="C17" s="8">
        <v>12315584</v>
      </c>
    </row>
    <row r="18" spans="1:3" x14ac:dyDescent="0.25">
      <c r="A18" s="17" t="s">
        <v>80</v>
      </c>
      <c r="B18" s="7">
        <v>7145014</v>
      </c>
      <c r="C18" s="7">
        <v>9005054</v>
      </c>
    </row>
    <row r="19" spans="1:3" x14ac:dyDescent="0.25">
      <c r="A19" s="18" t="s">
        <v>85</v>
      </c>
      <c r="B19" s="8">
        <v>4793822</v>
      </c>
      <c r="C19" s="8">
        <v>5116596</v>
      </c>
    </row>
    <row r="20" spans="1:3" x14ac:dyDescent="0.25">
      <c r="A20" s="17" t="s">
        <v>95</v>
      </c>
      <c r="B20" s="7">
        <v>3783232</v>
      </c>
      <c r="C20" s="7">
        <v>4709345</v>
      </c>
    </row>
    <row r="21" spans="1:3" x14ac:dyDescent="0.25">
      <c r="A21" s="18" t="s">
        <v>79</v>
      </c>
      <c r="B21" s="8">
        <v>2311825</v>
      </c>
      <c r="C21" s="8">
        <v>2594402</v>
      </c>
    </row>
    <row r="22" spans="1:3" x14ac:dyDescent="0.25">
      <c r="A22" s="17" t="s">
        <v>84</v>
      </c>
      <c r="B22" s="7">
        <v>1821931</v>
      </c>
      <c r="C22" s="7">
        <v>2018938</v>
      </c>
    </row>
    <row r="23" spans="1:3" x14ac:dyDescent="0.25">
      <c r="A23" s="18" t="s">
        <v>92</v>
      </c>
      <c r="B23" s="8">
        <v>2118749</v>
      </c>
      <c r="C23" s="8">
        <v>1741828</v>
      </c>
    </row>
    <row r="24" spans="1:3" x14ac:dyDescent="0.25">
      <c r="A24" s="17" t="s">
        <v>91</v>
      </c>
      <c r="B24" s="7">
        <v>1227864</v>
      </c>
      <c r="C24" s="7">
        <v>1532711</v>
      </c>
    </row>
    <row r="25" spans="1:3" x14ac:dyDescent="0.25">
      <c r="A25" s="18" t="s">
        <v>89</v>
      </c>
      <c r="B25" s="8">
        <v>846522</v>
      </c>
      <c r="C25" s="8">
        <v>1137669</v>
      </c>
    </row>
    <row r="26" spans="1:3" x14ac:dyDescent="0.25">
      <c r="A26" s="17" t="s">
        <v>98</v>
      </c>
      <c r="B26" s="7">
        <v>1008016</v>
      </c>
      <c r="C26" s="7">
        <v>932437</v>
      </c>
    </row>
    <row r="27" spans="1:3" x14ac:dyDescent="0.25">
      <c r="A27" s="18" t="s">
        <v>86</v>
      </c>
      <c r="B27" s="8">
        <v>809021</v>
      </c>
      <c r="C27" s="8">
        <v>879865</v>
      </c>
    </row>
    <row r="28" spans="1:3" x14ac:dyDescent="0.25">
      <c r="A28" s="17" t="s">
        <v>87</v>
      </c>
      <c r="B28" s="7">
        <v>507598</v>
      </c>
      <c r="C28" s="7">
        <v>789496</v>
      </c>
    </row>
    <row r="29" spans="1:3" x14ac:dyDescent="0.25">
      <c r="A29" s="18" t="s">
        <v>99</v>
      </c>
      <c r="B29" s="8">
        <v>489054</v>
      </c>
      <c r="C29" s="8">
        <v>680652</v>
      </c>
    </row>
    <row r="30" spans="1:3" x14ac:dyDescent="0.25">
      <c r="A30" s="17" t="s">
        <v>96</v>
      </c>
      <c r="B30" s="7">
        <v>375157</v>
      </c>
      <c r="C30" s="7">
        <v>422617</v>
      </c>
    </row>
    <row r="31" spans="1:3" x14ac:dyDescent="0.25">
      <c r="A31" s="17" t="s">
        <v>88</v>
      </c>
      <c r="B31" s="7">
        <v>313831</v>
      </c>
      <c r="C31" s="7">
        <v>383246</v>
      </c>
    </row>
    <row r="32" spans="1:3" x14ac:dyDescent="0.25">
      <c r="A32" s="18" t="s">
        <v>97</v>
      </c>
      <c r="B32" s="8">
        <v>145445</v>
      </c>
      <c r="C32" s="8">
        <v>149905</v>
      </c>
    </row>
    <row r="33" spans="1:3" x14ac:dyDescent="0.25">
      <c r="A33" s="1"/>
      <c r="B33" s="1"/>
      <c r="C33" s="1"/>
    </row>
    <row r="34" spans="1:3" x14ac:dyDescent="0.25">
      <c r="B34" s="212" t="str">
        <f>LEFT(B5,4)</f>
        <v>2017</v>
      </c>
      <c r="C34" s="212" t="str">
        <f>LEFT(C5,4)</f>
        <v>2018</v>
      </c>
    </row>
  </sheetData>
  <sortState xmlns:xlrd2="http://schemas.microsoft.com/office/spreadsheetml/2017/richdata2" ref="A6:B32">
    <sortCondition descending="1" ref="B6:B32"/>
  </sortState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Plan93"/>
  <dimension ref="A1:H19"/>
  <sheetViews>
    <sheetView showGridLines="0" workbookViewId="0">
      <selection activeCell="K22" sqref="K22"/>
    </sheetView>
  </sheetViews>
  <sheetFormatPr defaultRowHeight="15" x14ac:dyDescent="0.25"/>
  <cols>
    <col min="1" max="1" width="9.28515625" customWidth="1"/>
    <col min="2" max="2" width="40.5703125" customWidth="1"/>
  </cols>
  <sheetData>
    <row r="1" spans="1:8" x14ac:dyDescent="0.25">
      <c r="C1" s="78"/>
      <c r="D1" s="78"/>
      <c r="E1" s="78"/>
      <c r="F1" s="78"/>
      <c r="G1" s="78" t="s">
        <v>280</v>
      </c>
      <c r="H1" s="78" t="s">
        <v>1244</v>
      </c>
    </row>
    <row r="3" spans="1:8" x14ac:dyDescent="0.25">
      <c r="A3" s="350" t="str">
        <f>"Tabela Referente à "&amp;G1</f>
        <v>Tabela Referente à Figura 3.34</v>
      </c>
      <c r="B3" s="350"/>
    </row>
    <row r="4" spans="1:8" ht="28.5" customHeight="1" x14ac:dyDescent="0.25">
      <c r="A4" s="351" t="str">
        <f>H1</f>
        <v>Evolução do número de passageiros pagos transportados – mercado internacional, 2009 a 2018</v>
      </c>
      <c r="B4" s="351"/>
    </row>
    <row r="5" spans="1:8" x14ac:dyDescent="0.25">
      <c r="A5" s="1" t="s">
        <v>20</v>
      </c>
      <c r="B5" s="21" t="s">
        <v>129</v>
      </c>
      <c r="C5" s="78"/>
    </row>
    <row r="6" spans="1:8" x14ac:dyDescent="0.25">
      <c r="A6" s="17">
        <v>2009</v>
      </c>
      <c r="B6" s="7">
        <v>12601853</v>
      </c>
      <c r="C6" s="114"/>
      <c r="G6" s="65"/>
      <c r="H6" s="31"/>
    </row>
    <row r="7" spans="1:8" x14ac:dyDescent="0.25">
      <c r="A7" s="18">
        <v>2010</v>
      </c>
      <c r="B7" s="8">
        <v>15371053</v>
      </c>
      <c r="C7" s="114">
        <f t="shared" ref="C7:C14" si="0">B7/B6-1</f>
        <v>0.21974546124288219</v>
      </c>
      <c r="G7" s="65"/>
      <c r="H7" s="31"/>
    </row>
    <row r="8" spans="1:8" x14ac:dyDescent="0.25">
      <c r="A8" s="17">
        <v>2011</v>
      </c>
      <c r="B8" s="7">
        <v>17884288</v>
      </c>
      <c r="C8" s="114">
        <f t="shared" si="0"/>
        <v>0.1635044131329193</v>
      </c>
      <c r="G8" s="65"/>
      <c r="H8" s="31"/>
    </row>
    <row r="9" spans="1:8" x14ac:dyDescent="0.25">
      <c r="A9" s="18">
        <v>2012</v>
      </c>
      <c r="B9" s="8">
        <v>18945951</v>
      </c>
      <c r="C9" s="114">
        <f t="shared" si="0"/>
        <v>5.9362888810558179E-2</v>
      </c>
      <c r="G9" s="65"/>
      <c r="H9" s="31"/>
    </row>
    <row r="10" spans="1:8" x14ac:dyDescent="0.25">
      <c r="A10" s="17">
        <v>2013</v>
      </c>
      <c r="B10" s="7">
        <v>19785492</v>
      </c>
      <c r="C10" s="114">
        <f t="shared" si="0"/>
        <v>4.4312423271864354E-2</v>
      </c>
      <c r="G10" s="65"/>
      <c r="H10" s="31"/>
    </row>
    <row r="11" spans="1:8" x14ac:dyDescent="0.25">
      <c r="A11" s="18">
        <v>2014</v>
      </c>
      <c r="B11" s="8">
        <v>21302022</v>
      </c>
      <c r="C11" s="114">
        <f t="shared" si="0"/>
        <v>7.6648586752353642E-2</v>
      </c>
      <c r="G11" s="65"/>
      <c r="H11" s="31"/>
    </row>
    <row r="12" spans="1:8" x14ac:dyDescent="0.25">
      <c r="A12" s="17">
        <v>2015</v>
      </c>
      <c r="B12" s="7">
        <v>21568211</v>
      </c>
      <c r="C12" s="114">
        <f t="shared" si="0"/>
        <v>1.2495949914989257E-2</v>
      </c>
      <c r="G12" s="65"/>
      <c r="H12" s="31"/>
    </row>
    <row r="13" spans="1:8" x14ac:dyDescent="0.25">
      <c r="A13" s="18">
        <v>2016</v>
      </c>
      <c r="B13" s="8">
        <v>20914827</v>
      </c>
      <c r="C13" s="114">
        <f t="shared" si="0"/>
        <v>-3.0293843100848705E-2</v>
      </c>
      <c r="G13" s="65"/>
      <c r="H13" s="31"/>
    </row>
    <row r="14" spans="1:8" x14ac:dyDescent="0.25">
      <c r="A14" s="17">
        <v>2017</v>
      </c>
      <c r="B14" s="7">
        <v>21888592</v>
      </c>
      <c r="C14" s="114">
        <f t="shared" si="0"/>
        <v>4.6558596922652074E-2</v>
      </c>
    </row>
    <row r="15" spans="1:8" x14ac:dyDescent="0.25">
      <c r="A15" s="18">
        <v>2018</v>
      </c>
      <c r="B15" s="8">
        <v>23987969</v>
      </c>
      <c r="C15" s="114" t="str">
        <f>IF((B15/B6-1)&gt;0,"+","")&amp;ROUND((B15/B6-1)*100,0)&amp;"%"</f>
        <v>+90%</v>
      </c>
    </row>
    <row r="16" spans="1:8" x14ac:dyDescent="0.25">
      <c r="A16" s="1"/>
      <c r="B16" s="21"/>
      <c r="C16" s="78"/>
    </row>
    <row r="17" spans="2:3" x14ac:dyDescent="0.25">
      <c r="B17" s="147">
        <f>B15/B6-1</f>
        <v>0.90352712414594905</v>
      </c>
      <c r="C17" s="114">
        <f>(1+B17)^(1/9)-1</f>
        <v>7.414304025924956E-2</v>
      </c>
    </row>
    <row r="19" spans="2:3" x14ac:dyDescent="0.25">
      <c r="B19" s="66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Plan94"/>
  <dimension ref="A1:H16"/>
  <sheetViews>
    <sheetView showGridLines="0" workbookViewId="0">
      <selection activeCell="E3" sqref="E3"/>
    </sheetView>
  </sheetViews>
  <sheetFormatPr defaultRowHeight="15" x14ac:dyDescent="0.25"/>
  <cols>
    <col min="1" max="1" width="9.28515625" customWidth="1"/>
    <col min="2" max="2" width="46.85546875" customWidth="1"/>
  </cols>
  <sheetData>
    <row r="1" spans="1:8" x14ac:dyDescent="0.25">
      <c r="C1" s="78"/>
      <c r="D1" s="78"/>
      <c r="E1" s="78"/>
      <c r="F1" s="78"/>
      <c r="G1" s="78" t="s">
        <v>281</v>
      </c>
      <c r="H1" s="78" t="s">
        <v>1245</v>
      </c>
    </row>
    <row r="3" spans="1:8" x14ac:dyDescent="0.25">
      <c r="A3" s="350" t="str">
        <f>"Tabela Referente à "&amp;G1</f>
        <v>Tabela Referente à Figura 3.35</v>
      </c>
      <c r="B3" s="350"/>
    </row>
    <row r="4" spans="1:8" ht="33" customHeight="1" x14ac:dyDescent="0.25">
      <c r="A4" s="351" t="str">
        <f>H1</f>
        <v>Variação no número de passageiros pagos transportados em relação ao ano anterior – mercado internacional, 2009 a 2018</v>
      </c>
      <c r="B4" s="351"/>
    </row>
    <row r="5" spans="1:8" x14ac:dyDescent="0.25">
      <c r="A5" s="1" t="s">
        <v>20</v>
      </c>
      <c r="B5" s="21" t="s">
        <v>130</v>
      </c>
    </row>
    <row r="6" spans="1:8" x14ac:dyDescent="0.25">
      <c r="A6" s="17">
        <v>2009</v>
      </c>
      <c r="B6" s="10">
        <v>-5.9602509148871392E-2</v>
      </c>
      <c r="G6" s="65"/>
      <c r="H6" s="31"/>
    </row>
    <row r="7" spans="1:8" x14ac:dyDescent="0.25">
      <c r="A7" s="18">
        <v>2010</v>
      </c>
      <c r="B7" s="11">
        <v>0.2197454612428823</v>
      </c>
      <c r="G7" s="65"/>
      <c r="H7" s="31"/>
    </row>
    <row r="8" spans="1:8" x14ac:dyDescent="0.25">
      <c r="A8" s="17">
        <v>2011</v>
      </c>
      <c r="B8" s="10">
        <v>0.16350441313291939</v>
      </c>
      <c r="G8" s="65"/>
      <c r="H8" s="31"/>
    </row>
    <row r="9" spans="1:8" x14ac:dyDescent="0.25">
      <c r="A9" s="18">
        <v>2012</v>
      </c>
      <c r="B9" s="11">
        <v>5.9362888810558186E-2</v>
      </c>
      <c r="G9" s="65"/>
      <c r="H9" s="31"/>
    </row>
    <row r="10" spans="1:8" x14ac:dyDescent="0.25">
      <c r="A10" s="17">
        <v>2013</v>
      </c>
      <c r="B10" s="10">
        <v>4.4312423271864264E-2</v>
      </c>
      <c r="G10" s="65"/>
      <c r="H10" s="31"/>
    </row>
    <row r="11" spans="1:8" x14ac:dyDescent="0.25">
      <c r="A11" s="18">
        <v>2014</v>
      </c>
      <c r="B11" s="11">
        <v>7.6648586752353698E-2</v>
      </c>
      <c r="G11" s="65"/>
      <c r="H11" s="31"/>
    </row>
    <row r="12" spans="1:8" x14ac:dyDescent="0.25">
      <c r="A12" s="17">
        <v>2015</v>
      </c>
      <c r="B12" s="10">
        <v>1.249594991498929E-2</v>
      </c>
      <c r="G12" s="65"/>
      <c r="H12" s="31"/>
    </row>
    <row r="13" spans="1:8" x14ac:dyDescent="0.25">
      <c r="A13" s="18">
        <v>2016</v>
      </c>
      <c r="B13" s="11">
        <v>-3.0293843100848743E-2</v>
      </c>
      <c r="G13" s="65"/>
      <c r="H13" s="31"/>
    </row>
    <row r="14" spans="1:8" x14ac:dyDescent="0.25">
      <c r="A14" s="17">
        <v>2017</v>
      </c>
      <c r="B14" s="10">
        <v>4.6558596922652053E-2</v>
      </c>
    </row>
    <row r="15" spans="1:8" x14ac:dyDescent="0.25">
      <c r="A15" s="18">
        <v>2018</v>
      </c>
      <c r="B15" s="11">
        <v>9.5911925262255338E-2</v>
      </c>
    </row>
    <row r="16" spans="1:8" x14ac:dyDescent="0.25">
      <c r="A16" s="1"/>
      <c r="B16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Plan205"/>
  <dimension ref="A1:H18"/>
  <sheetViews>
    <sheetView showGridLines="0" workbookViewId="0">
      <selection activeCell="A5" sqref="A5:B17"/>
    </sheetView>
  </sheetViews>
  <sheetFormatPr defaultRowHeight="15" x14ac:dyDescent="0.25"/>
  <cols>
    <col min="1" max="1" width="9.28515625" customWidth="1"/>
    <col min="2" max="2" width="53.85546875" bestFit="1" customWidth="1"/>
  </cols>
  <sheetData>
    <row r="1" spans="1:8" x14ac:dyDescent="0.25">
      <c r="C1" s="78"/>
      <c r="D1" s="78"/>
      <c r="E1" s="78"/>
      <c r="F1" s="78"/>
      <c r="G1" s="78" t="s">
        <v>282</v>
      </c>
      <c r="H1" s="78" t="s">
        <v>1246</v>
      </c>
    </row>
    <row r="3" spans="1:8" x14ac:dyDescent="0.25">
      <c r="A3" s="350" t="str">
        <f>"Tabela Referente à "&amp;G1</f>
        <v>Tabela Referente à Figura 3.36</v>
      </c>
      <c r="B3" s="350"/>
    </row>
    <row r="4" spans="1:8" ht="33" customHeight="1" x14ac:dyDescent="0.25">
      <c r="A4" s="351" t="str">
        <f>H1</f>
        <v>Variação nos passageiros pagos transportados com relação ao mesmo mês do ano anterior – mercado internacional, 2018</v>
      </c>
      <c r="B4" s="351"/>
    </row>
    <row r="5" spans="1:8" x14ac:dyDescent="0.25">
      <c r="A5" s="1" t="s">
        <v>20</v>
      </c>
      <c r="B5" s="21" t="s">
        <v>130</v>
      </c>
    </row>
    <row r="6" spans="1:8" x14ac:dyDescent="0.25">
      <c r="A6" s="17" t="s">
        <v>47</v>
      </c>
      <c r="B6" s="10">
        <v>0.16868498761219855</v>
      </c>
      <c r="C6" s="78">
        <v>1</v>
      </c>
    </row>
    <row r="7" spans="1:8" x14ac:dyDescent="0.25">
      <c r="A7" s="18" t="s">
        <v>48</v>
      </c>
      <c r="B7" s="11">
        <v>0.17016221391356354</v>
      </c>
      <c r="C7" s="78">
        <v>2</v>
      </c>
    </row>
    <row r="8" spans="1:8" x14ac:dyDescent="0.25">
      <c r="A8" s="17" t="s">
        <v>49</v>
      </c>
      <c r="B8" s="10">
        <v>0.11379881514681507</v>
      </c>
      <c r="C8" s="78">
        <v>3</v>
      </c>
    </row>
    <row r="9" spans="1:8" x14ac:dyDescent="0.25">
      <c r="A9" s="18" t="s">
        <v>50</v>
      </c>
      <c r="B9" s="11">
        <v>0.11973879183430761</v>
      </c>
      <c r="C9" s="78">
        <v>4</v>
      </c>
    </row>
    <row r="10" spans="1:8" x14ac:dyDescent="0.25">
      <c r="A10" s="17" t="s">
        <v>51</v>
      </c>
      <c r="B10" s="10">
        <v>0.11518229078445391</v>
      </c>
      <c r="C10" s="78">
        <v>5</v>
      </c>
    </row>
    <row r="11" spans="1:8" x14ac:dyDescent="0.25">
      <c r="A11" s="18" t="s">
        <v>52</v>
      </c>
      <c r="B11" s="11">
        <v>8.5716572612944214E-2</v>
      </c>
      <c r="C11" s="78">
        <v>6</v>
      </c>
    </row>
    <row r="12" spans="1:8" x14ac:dyDescent="0.25">
      <c r="A12" s="17" t="s">
        <v>53</v>
      </c>
      <c r="B12" s="10">
        <v>6.1890127058134285E-2</v>
      </c>
      <c r="C12" s="78">
        <v>7</v>
      </c>
    </row>
    <row r="13" spans="1:8" x14ac:dyDescent="0.25">
      <c r="A13" s="18" t="s">
        <v>54</v>
      </c>
      <c r="B13" s="11">
        <v>8.651047690776556E-2</v>
      </c>
      <c r="C13" s="78">
        <v>8</v>
      </c>
    </row>
    <row r="14" spans="1:8" x14ac:dyDescent="0.25">
      <c r="A14" s="17" t="s">
        <v>55</v>
      </c>
      <c r="B14" s="10">
        <v>7.3275178255688009E-2</v>
      </c>
      <c r="C14" s="78">
        <v>9</v>
      </c>
    </row>
    <row r="15" spans="1:8" x14ac:dyDescent="0.25">
      <c r="A15" s="18" t="s">
        <v>56</v>
      </c>
      <c r="B15" s="11">
        <v>1.6113700954287335E-2</v>
      </c>
      <c r="C15" s="78">
        <v>10</v>
      </c>
    </row>
    <row r="16" spans="1:8" x14ac:dyDescent="0.25">
      <c r="A16" s="17" t="s">
        <v>57</v>
      </c>
      <c r="B16" s="10">
        <v>7.1240909652224446E-2</v>
      </c>
      <c r="C16" s="78">
        <v>11</v>
      </c>
    </row>
    <row r="17" spans="1:3" x14ac:dyDescent="0.25">
      <c r="A17" s="18" t="s">
        <v>58</v>
      </c>
      <c r="B17" s="11">
        <v>7.6498642448098841E-2</v>
      </c>
      <c r="C17" s="78">
        <v>12</v>
      </c>
    </row>
    <row r="18" spans="1:3" x14ac:dyDescent="0.25">
      <c r="A18" s="1"/>
      <c r="B1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Plan95"/>
  <dimension ref="A1:S19"/>
  <sheetViews>
    <sheetView showGridLines="0" workbookViewId="0">
      <selection activeCell="Q25" sqref="Q25"/>
    </sheetView>
  </sheetViews>
  <sheetFormatPr defaultRowHeight="15" x14ac:dyDescent="0.25"/>
  <cols>
    <col min="1" max="1" width="9.28515625" customWidth="1"/>
    <col min="2" max="2" width="30.42578125" customWidth="1"/>
    <col min="3" max="3" width="22.42578125" customWidth="1"/>
    <col min="4" max="4" width="6.7109375" customWidth="1"/>
    <col min="18" max="18" width="11.5703125" bestFit="1" customWidth="1"/>
  </cols>
  <sheetData>
    <row r="1" spans="1:8" x14ac:dyDescent="0.25">
      <c r="C1" s="78"/>
      <c r="D1" s="78"/>
      <c r="E1" s="78"/>
      <c r="F1" s="78"/>
      <c r="G1" s="78" t="s">
        <v>283</v>
      </c>
      <c r="H1" s="78" t="s">
        <v>1247</v>
      </c>
    </row>
    <row r="3" spans="1:8" x14ac:dyDescent="0.25">
      <c r="A3" s="350" t="str">
        <f>"Tabela Referente à "&amp;G1</f>
        <v>Tabela Referente à Figura 3.37</v>
      </c>
      <c r="B3" s="350"/>
      <c r="C3" s="350"/>
    </row>
    <row r="4" spans="1:8" ht="31.5" customHeight="1" x14ac:dyDescent="0.25">
      <c r="A4" s="351" t="str">
        <f>H1</f>
        <v>Evolução do número de passageiros pagos transportados por nacionalidade da empresa – mercado internacional, 2009 a 2018</v>
      </c>
      <c r="B4" s="351"/>
      <c r="C4" s="351"/>
    </row>
    <row r="5" spans="1:8" x14ac:dyDescent="0.25">
      <c r="A5" s="1" t="s">
        <v>20</v>
      </c>
      <c r="B5" s="21" t="s">
        <v>105</v>
      </c>
      <c r="C5" s="21" t="s">
        <v>106</v>
      </c>
    </row>
    <row r="6" spans="1:8" x14ac:dyDescent="0.25">
      <c r="A6" s="17">
        <v>2009</v>
      </c>
      <c r="B6" s="7">
        <v>4253864</v>
      </c>
      <c r="C6" s="7">
        <v>8347989</v>
      </c>
      <c r="G6" s="65"/>
      <c r="H6" s="31"/>
    </row>
    <row r="7" spans="1:8" x14ac:dyDescent="0.25">
      <c r="A7" s="18">
        <v>2010</v>
      </c>
      <c r="B7" s="8">
        <v>5270669</v>
      </c>
      <c r="C7" s="8">
        <v>10100384</v>
      </c>
      <c r="G7" s="65"/>
      <c r="H7" s="31"/>
    </row>
    <row r="8" spans="1:8" x14ac:dyDescent="0.25">
      <c r="A8" s="17">
        <v>2011</v>
      </c>
      <c r="B8" s="7">
        <v>5756528</v>
      </c>
      <c r="C8" s="7">
        <v>12127760</v>
      </c>
      <c r="G8" s="65"/>
      <c r="H8" s="31"/>
    </row>
    <row r="9" spans="1:8" x14ac:dyDescent="0.25">
      <c r="A9" s="18">
        <v>2012</v>
      </c>
      <c r="B9" s="8">
        <v>5774370</v>
      </c>
      <c r="C9" s="8">
        <v>13171581</v>
      </c>
      <c r="G9" s="65"/>
      <c r="H9" s="31"/>
    </row>
    <row r="10" spans="1:8" x14ac:dyDescent="0.25">
      <c r="A10" s="17">
        <v>2013</v>
      </c>
      <c r="B10" s="7">
        <v>6096112</v>
      </c>
      <c r="C10" s="7">
        <v>13689380</v>
      </c>
      <c r="G10" s="65"/>
      <c r="H10" s="31"/>
    </row>
    <row r="11" spans="1:8" x14ac:dyDescent="0.25">
      <c r="A11" s="18">
        <v>2014</v>
      </c>
      <c r="B11" s="8">
        <v>6410526</v>
      </c>
      <c r="C11" s="8">
        <v>14891496</v>
      </c>
      <c r="G11" s="65"/>
      <c r="H11" s="31"/>
    </row>
    <row r="12" spans="1:8" x14ac:dyDescent="0.25">
      <c r="A12" s="17">
        <v>2015</v>
      </c>
      <c r="B12" s="7">
        <v>7294858</v>
      </c>
      <c r="C12" s="7">
        <v>14273353</v>
      </c>
      <c r="G12" s="65"/>
      <c r="H12" s="31"/>
    </row>
    <row r="13" spans="1:8" x14ac:dyDescent="0.25">
      <c r="A13" s="18">
        <v>2016</v>
      </c>
      <c r="B13" s="8">
        <v>7485043</v>
      </c>
      <c r="C13" s="8">
        <v>13429784</v>
      </c>
      <c r="G13" s="65"/>
      <c r="H13" s="31"/>
    </row>
    <row r="14" spans="1:8" x14ac:dyDescent="0.25">
      <c r="A14" s="17">
        <v>2017</v>
      </c>
      <c r="B14" s="7">
        <v>8358142</v>
      </c>
      <c r="C14" s="7">
        <v>13530450</v>
      </c>
    </row>
    <row r="15" spans="1:8" x14ac:dyDescent="0.25">
      <c r="A15" s="18">
        <v>2018</v>
      </c>
      <c r="B15" s="8">
        <v>9352388</v>
      </c>
      <c r="C15" s="8">
        <v>14635581</v>
      </c>
      <c r="D15" s="66"/>
    </row>
    <row r="16" spans="1:8" x14ac:dyDescent="0.25">
      <c r="A16" s="1"/>
      <c r="B16" s="21"/>
      <c r="C16" s="21"/>
    </row>
    <row r="17" spans="2:19" x14ac:dyDescent="0.25">
      <c r="B17" s="78" t="s">
        <v>383</v>
      </c>
      <c r="C17" s="78" t="s">
        <v>384</v>
      </c>
    </row>
    <row r="18" spans="2:19" x14ac:dyDescent="0.25">
      <c r="R18" s="182"/>
      <c r="S18" s="182"/>
    </row>
    <row r="19" spans="2:19" x14ac:dyDescent="0.25">
      <c r="R19" s="66"/>
    </row>
  </sheetData>
  <mergeCells count="2">
    <mergeCell ref="A4:C4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Plan96"/>
  <dimension ref="A1:H8"/>
  <sheetViews>
    <sheetView showGridLines="0" workbookViewId="0">
      <selection activeCell="H20" sqref="H20"/>
    </sheetView>
  </sheetViews>
  <sheetFormatPr defaultRowHeight="15" x14ac:dyDescent="0.25"/>
  <cols>
    <col min="1" max="1" width="20.85546875" bestFit="1" customWidth="1"/>
    <col min="2" max="2" width="46" customWidth="1"/>
    <col min="3" max="3" width="4.5703125" customWidth="1"/>
  </cols>
  <sheetData>
    <row r="1" spans="1:8" x14ac:dyDescent="0.25">
      <c r="C1" s="78"/>
      <c r="D1" s="78"/>
      <c r="E1" s="78"/>
      <c r="F1" s="78"/>
      <c r="G1" s="78" t="s">
        <v>284</v>
      </c>
      <c r="H1" s="78" t="s">
        <v>1248</v>
      </c>
    </row>
    <row r="3" spans="1:8" x14ac:dyDescent="0.25">
      <c r="A3" s="350" t="str">
        <f>"Tabela Referente à "&amp;G1</f>
        <v>Tabela Referente à Figura 3.38</v>
      </c>
      <c r="B3" s="350"/>
    </row>
    <row r="4" spans="1:8" ht="31.5" customHeight="1" x14ac:dyDescent="0.25">
      <c r="A4" s="351" t="str">
        <f>H1</f>
        <v>Variação do número de passageiros pagos transportados por nacionalidade da empresa – mercado internacional, 2018/2009</v>
      </c>
      <c r="B4" s="351"/>
    </row>
    <row r="5" spans="1:8" x14ac:dyDescent="0.25">
      <c r="A5" s="1" t="s">
        <v>20</v>
      </c>
      <c r="B5" s="21" t="s">
        <v>233</v>
      </c>
    </row>
    <row r="6" spans="1:8" x14ac:dyDescent="0.25">
      <c r="A6" s="17" t="s">
        <v>105</v>
      </c>
      <c r="B6" s="10">
        <v>1.1985630006036865</v>
      </c>
      <c r="C6" s="78" t="s">
        <v>383</v>
      </c>
    </row>
    <row r="7" spans="1:8" x14ac:dyDescent="0.25">
      <c r="A7" s="18" t="s">
        <v>106</v>
      </c>
      <c r="B7" s="11">
        <v>0.75318642609615327</v>
      </c>
      <c r="C7" s="78" t="s">
        <v>384</v>
      </c>
    </row>
    <row r="8" spans="1:8" x14ac:dyDescent="0.25">
      <c r="A8" s="1"/>
      <c r="B8" s="21"/>
      <c r="C8" s="78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Plan97"/>
  <dimension ref="A1:H8"/>
  <sheetViews>
    <sheetView showGridLines="0" workbookViewId="0">
      <selection activeCell="D21" sqref="D21"/>
    </sheetView>
  </sheetViews>
  <sheetFormatPr defaultRowHeight="15" x14ac:dyDescent="0.25"/>
  <cols>
    <col min="1" max="1" width="20.85546875" bestFit="1" customWidth="1"/>
    <col min="2" max="2" width="44" customWidth="1"/>
  </cols>
  <sheetData>
    <row r="1" spans="1:8" x14ac:dyDescent="0.25">
      <c r="C1" s="78"/>
      <c r="D1" s="78"/>
      <c r="E1" s="78"/>
      <c r="F1" s="78"/>
      <c r="G1" s="78" t="s">
        <v>285</v>
      </c>
      <c r="H1" s="78" t="s">
        <v>1249</v>
      </c>
    </row>
    <row r="3" spans="1:8" x14ac:dyDescent="0.25">
      <c r="A3" s="350" t="str">
        <f>"Tabela Referente à "&amp;G1</f>
        <v>Tabela Referente à Figura 3.39</v>
      </c>
      <c r="B3" s="350"/>
    </row>
    <row r="4" spans="1:8" ht="30.75" customHeight="1" x14ac:dyDescent="0.25">
      <c r="A4" s="351" t="str">
        <f>H1</f>
        <v>Variação do número de passageiros pagos transportados por nacionalidade da empresa – mercado internacional, 2018/2017</v>
      </c>
      <c r="B4" s="351"/>
    </row>
    <row r="5" spans="1:8" x14ac:dyDescent="0.25">
      <c r="A5" s="1" t="s">
        <v>20</v>
      </c>
      <c r="B5" s="21" t="s">
        <v>233</v>
      </c>
    </row>
    <row r="6" spans="1:8" x14ac:dyDescent="0.25">
      <c r="A6" s="17" t="s">
        <v>105</v>
      </c>
      <c r="B6" s="10">
        <v>0.11895538506045961</v>
      </c>
      <c r="C6" s="78" t="s">
        <v>383</v>
      </c>
    </row>
    <row r="7" spans="1:8" x14ac:dyDescent="0.25">
      <c r="A7" s="18" t="s">
        <v>106</v>
      </c>
      <c r="B7" s="11">
        <v>8.1677327805061914E-2</v>
      </c>
      <c r="C7" s="78" t="s">
        <v>384</v>
      </c>
    </row>
    <row r="8" spans="1:8" x14ac:dyDescent="0.25">
      <c r="A8" s="1"/>
      <c r="B8" s="2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Plan98"/>
  <dimension ref="A1:H25"/>
  <sheetViews>
    <sheetView showGridLines="0" workbookViewId="0">
      <selection activeCell="E3" sqref="E3"/>
    </sheetView>
  </sheetViews>
  <sheetFormatPr defaultRowHeight="15" x14ac:dyDescent="0.25"/>
  <cols>
    <col min="1" max="1" width="20.85546875" bestFit="1" customWidth="1"/>
    <col min="2" max="2" width="40.7109375" bestFit="1" customWidth="1"/>
  </cols>
  <sheetData>
    <row r="1" spans="1:8" x14ac:dyDescent="0.25">
      <c r="C1" s="78"/>
      <c r="D1" s="78"/>
      <c r="E1" s="78"/>
      <c r="F1" s="78"/>
      <c r="G1" s="78" t="s">
        <v>286</v>
      </c>
      <c r="H1" s="78" t="s">
        <v>1250</v>
      </c>
    </row>
    <row r="3" spans="1:8" x14ac:dyDescent="0.25">
      <c r="A3" s="350" t="str">
        <f>"Tabela Referente à "&amp;G1</f>
        <v>Tabela Referente à Figura 3.40</v>
      </c>
      <c r="B3" s="350"/>
    </row>
    <row r="4" spans="1:8" ht="30.75" customHeight="1" x14ac:dyDescent="0.25">
      <c r="A4" s="351" t="str">
        <f>H1</f>
        <v>Participação de mercado das maiores empresas em termos de passageiros pagos transportados – mercado internacional, 2018</v>
      </c>
      <c r="B4" s="351"/>
    </row>
    <row r="5" spans="1:8" x14ac:dyDescent="0.25">
      <c r="A5" s="1" t="s">
        <v>7</v>
      </c>
      <c r="B5" s="21" t="s">
        <v>129</v>
      </c>
    </row>
    <row r="6" spans="1:8" x14ac:dyDescent="0.25">
      <c r="A6" s="17" t="s">
        <v>526</v>
      </c>
      <c r="B6" s="7">
        <v>5613106</v>
      </c>
      <c r="C6" s="114">
        <f>B6/SUM($B$6:$B$16)</f>
        <v>0.233996717271062</v>
      </c>
    </row>
    <row r="7" spans="1:8" x14ac:dyDescent="0.25">
      <c r="A7" s="18" t="s">
        <v>59</v>
      </c>
      <c r="B7" s="8">
        <v>1844349</v>
      </c>
      <c r="C7" s="114">
        <f t="shared" ref="C7:C16" si="0">B7/SUM($B$6:$B$16)</f>
        <v>7.6886417520382819E-2</v>
      </c>
    </row>
    <row r="8" spans="1:8" x14ac:dyDescent="0.25">
      <c r="A8" s="17" t="s">
        <v>60</v>
      </c>
      <c r="B8" s="7">
        <v>1237656</v>
      </c>
      <c r="C8" s="114">
        <f t="shared" si="0"/>
        <v>5.1594864075403798E-2</v>
      </c>
    </row>
    <row r="9" spans="1:8" x14ac:dyDescent="0.25">
      <c r="A9" s="18" t="s">
        <v>61</v>
      </c>
      <c r="B9" s="8">
        <v>655994</v>
      </c>
      <c r="C9" s="114">
        <f t="shared" si="0"/>
        <v>2.7346792052299219E-2</v>
      </c>
    </row>
    <row r="10" spans="1:8" x14ac:dyDescent="0.25">
      <c r="A10" s="17" t="s">
        <v>108</v>
      </c>
      <c r="B10" s="7">
        <v>1283</v>
      </c>
      <c r="C10" s="114">
        <f t="shared" si="0"/>
        <v>5.3485144990807684E-5</v>
      </c>
    </row>
    <row r="11" spans="1:8" x14ac:dyDescent="0.25">
      <c r="A11" s="18" t="s">
        <v>387</v>
      </c>
      <c r="B11" s="8">
        <v>1736897</v>
      </c>
      <c r="C11" s="114">
        <f t="shared" si="0"/>
        <v>7.2407005361729462E-2</v>
      </c>
    </row>
    <row r="12" spans="1:8" x14ac:dyDescent="0.25">
      <c r="A12" s="17" t="s">
        <v>109</v>
      </c>
      <c r="B12" s="7">
        <v>1398262</v>
      </c>
      <c r="C12" s="114">
        <f t="shared" si="0"/>
        <v>5.8290137026606965E-2</v>
      </c>
    </row>
    <row r="13" spans="1:8" x14ac:dyDescent="0.25">
      <c r="A13" s="18" t="s">
        <v>386</v>
      </c>
      <c r="B13" s="8">
        <v>1079261</v>
      </c>
      <c r="C13" s="114">
        <f t="shared" si="0"/>
        <v>4.4991762328857439E-2</v>
      </c>
    </row>
    <row r="14" spans="1:8" x14ac:dyDescent="0.25">
      <c r="A14" s="17" t="s">
        <v>455</v>
      </c>
      <c r="B14" s="7">
        <v>987686</v>
      </c>
      <c r="C14" s="114">
        <f t="shared" si="0"/>
        <v>4.1174223628519781E-2</v>
      </c>
    </row>
    <row r="15" spans="1:8" x14ac:dyDescent="0.25">
      <c r="A15" s="18" t="s">
        <v>456</v>
      </c>
      <c r="B15" s="8">
        <v>715201</v>
      </c>
      <c r="C15" s="114">
        <f t="shared" si="0"/>
        <v>2.9814987671528174E-2</v>
      </c>
    </row>
    <row r="16" spans="1:8" x14ac:dyDescent="0.25">
      <c r="A16" s="17" t="s">
        <v>110</v>
      </c>
      <c r="B16" s="7">
        <v>8718274</v>
      </c>
      <c r="C16" s="114">
        <f t="shared" si="0"/>
        <v>0.36344360791861952</v>
      </c>
    </row>
    <row r="17" spans="1:7" x14ac:dyDescent="0.25">
      <c r="A17" s="1" t="s">
        <v>10</v>
      </c>
      <c r="B17" s="60">
        <v>23987969</v>
      </c>
    </row>
    <row r="24" spans="1:7" x14ac:dyDescent="0.25">
      <c r="G24" s="141"/>
    </row>
    <row r="25" spans="1:7" x14ac:dyDescent="0.25">
      <c r="G25" s="141"/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Plan99"/>
  <dimension ref="A1:H17"/>
  <sheetViews>
    <sheetView showGridLines="0" zoomScaleNormal="100" workbookViewId="0">
      <selection activeCell="D3" sqref="D3"/>
    </sheetView>
  </sheetViews>
  <sheetFormatPr defaultRowHeight="15" x14ac:dyDescent="0.25"/>
  <cols>
    <col min="1" max="1" width="19" bestFit="1" customWidth="1"/>
    <col min="2" max="2" width="55.5703125" bestFit="1" customWidth="1"/>
  </cols>
  <sheetData>
    <row r="1" spans="1:8" x14ac:dyDescent="0.25">
      <c r="C1" s="78"/>
      <c r="D1" s="78"/>
      <c r="E1" s="78"/>
      <c r="F1" s="78"/>
      <c r="G1" s="78" t="s">
        <v>287</v>
      </c>
      <c r="H1" s="78" t="s">
        <v>1251</v>
      </c>
    </row>
    <row r="3" spans="1:8" x14ac:dyDescent="0.25">
      <c r="A3" s="350" t="str">
        <f>"Tabela Referente à "&amp;G1</f>
        <v>Tabela Referente à Figura 3.41</v>
      </c>
      <c r="B3" s="350"/>
    </row>
    <row r="4" spans="1:8" ht="30" customHeight="1" x14ac:dyDescent="0.25">
      <c r="A4" s="351" t="str">
        <f>H1</f>
        <v>Variação na quantidade de passageiros pagos transportados pelas maiores empresas – mercado internacional, 2018/2017</v>
      </c>
      <c r="B4" s="351"/>
    </row>
    <row r="5" spans="1:8" x14ac:dyDescent="0.25">
      <c r="A5" s="1" t="s">
        <v>7</v>
      </c>
      <c r="B5" s="21" t="s">
        <v>129</v>
      </c>
    </row>
    <row r="6" spans="1:8" x14ac:dyDescent="0.25">
      <c r="A6" s="17" t="s">
        <v>526</v>
      </c>
      <c r="B6" s="10">
        <v>2.8537388084766802E-2</v>
      </c>
      <c r="C6" s="78" t="s">
        <v>526</v>
      </c>
    </row>
    <row r="7" spans="1:8" x14ac:dyDescent="0.25">
      <c r="A7" s="18" t="s">
        <v>59</v>
      </c>
      <c r="B7" s="11">
        <v>-2.3564490520467607E-2</v>
      </c>
      <c r="C7" s="78" t="s">
        <v>372</v>
      </c>
    </row>
    <row r="8" spans="1:8" x14ac:dyDescent="0.25">
      <c r="A8" s="17" t="s">
        <v>60</v>
      </c>
      <c r="B8" s="10">
        <v>0.55748372556002579</v>
      </c>
      <c r="C8" s="78" t="s">
        <v>383</v>
      </c>
    </row>
    <row r="9" spans="1:8" x14ac:dyDescent="0.25">
      <c r="A9" s="18" t="s">
        <v>61</v>
      </c>
      <c r="B9" s="11">
        <v>2.0193266287713163</v>
      </c>
      <c r="C9" s="78" t="s">
        <v>385</v>
      </c>
    </row>
    <row r="10" spans="1:8" x14ac:dyDescent="0.25">
      <c r="A10" s="17" t="s">
        <v>108</v>
      </c>
      <c r="B10" s="10">
        <v>0</v>
      </c>
      <c r="C10" s="78" t="s">
        <v>387</v>
      </c>
    </row>
    <row r="11" spans="1:8" x14ac:dyDescent="0.25">
      <c r="A11" s="18" t="s">
        <v>387</v>
      </c>
      <c r="B11" s="11">
        <v>8.5926446471655149E-2</v>
      </c>
      <c r="C11" s="78" t="s">
        <v>384</v>
      </c>
    </row>
    <row r="12" spans="1:8" x14ac:dyDescent="0.25">
      <c r="A12" s="17" t="s">
        <v>109</v>
      </c>
      <c r="B12" s="10">
        <v>3.3056961730126844E-3</v>
      </c>
    </row>
    <row r="13" spans="1:8" x14ac:dyDescent="0.25">
      <c r="A13" s="18" t="s">
        <v>386</v>
      </c>
      <c r="B13" s="11">
        <v>-5.5496994335123562E-3</v>
      </c>
    </row>
    <row r="14" spans="1:8" x14ac:dyDescent="0.25">
      <c r="A14" s="17" t="s">
        <v>455</v>
      </c>
      <c r="B14" s="10">
        <v>8.4150455037907967E-2</v>
      </c>
    </row>
    <row r="15" spans="1:8" x14ac:dyDescent="0.25">
      <c r="A15" s="18" t="s">
        <v>456</v>
      </c>
      <c r="B15" s="11">
        <v>7.0248422388392573E-2</v>
      </c>
    </row>
    <row r="16" spans="1:8" x14ac:dyDescent="0.25">
      <c r="A16" s="17" t="s">
        <v>110</v>
      </c>
      <c r="B16" s="10">
        <v>-3.2977846425082946E-2</v>
      </c>
    </row>
    <row r="17" spans="1:2" x14ac:dyDescent="0.25">
      <c r="A17" s="1" t="s">
        <v>10</v>
      </c>
      <c r="B17" s="21">
        <v>9.5911925262255338E-2</v>
      </c>
    </row>
  </sheetData>
  <mergeCells count="2"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Plan100"/>
  <dimension ref="A1:H13"/>
  <sheetViews>
    <sheetView showGridLines="0" workbookViewId="0">
      <selection activeCell="A5" sqref="A5:C11"/>
    </sheetView>
  </sheetViews>
  <sheetFormatPr defaultRowHeight="15" x14ac:dyDescent="0.25"/>
  <cols>
    <col min="1" max="1" width="19" bestFit="1" customWidth="1"/>
    <col min="2" max="3" width="15.5703125" customWidth="1"/>
  </cols>
  <sheetData>
    <row r="1" spans="1:8" x14ac:dyDescent="0.25">
      <c r="C1" s="78"/>
      <c r="D1" s="78"/>
      <c r="E1" s="78"/>
      <c r="F1" s="78"/>
      <c r="G1" s="78" t="s">
        <v>288</v>
      </c>
      <c r="H1" s="78" t="s">
        <v>1252</v>
      </c>
    </row>
    <row r="3" spans="1:8" x14ac:dyDescent="0.25">
      <c r="A3" s="350" t="str">
        <f>"Tabela Referente à "&amp;G1</f>
        <v>Tabela Referente à Figura 3.42</v>
      </c>
      <c r="B3" s="350"/>
      <c r="C3" s="350"/>
    </row>
    <row r="4" spans="1:8" ht="31.5" customHeight="1" x14ac:dyDescent="0.25">
      <c r="A4" s="351" t="str">
        <f>H1</f>
        <v>Quantidade de passageiros transportados entre o Brasil e outros países por continente, 2017 e 2018</v>
      </c>
      <c r="B4" s="351"/>
      <c r="C4" s="351"/>
    </row>
    <row r="5" spans="1:8" x14ac:dyDescent="0.25">
      <c r="A5" s="1" t="s">
        <v>111</v>
      </c>
      <c r="B5" s="1">
        <v>2017</v>
      </c>
      <c r="C5" s="21">
        <v>2018</v>
      </c>
    </row>
    <row r="6" spans="1:8" x14ac:dyDescent="0.25">
      <c r="A6" s="17" t="s">
        <v>459</v>
      </c>
      <c r="B6" s="59">
        <v>8143027</v>
      </c>
      <c r="C6" s="7">
        <v>8808579</v>
      </c>
      <c r="D6" s="114">
        <f t="shared" ref="D6:D11" si="0">C6/B6-1</f>
        <v>8.1732751223838607E-2</v>
      </c>
    </row>
    <row r="7" spans="1:8" x14ac:dyDescent="0.25">
      <c r="A7" s="18" t="s">
        <v>461</v>
      </c>
      <c r="B7" s="58">
        <v>4912893</v>
      </c>
      <c r="C7" s="8">
        <v>5544229</v>
      </c>
      <c r="D7" s="114">
        <f t="shared" si="0"/>
        <v>0.12850595362040251</v>
      </c>
    </row>
    <row r="8" spans="1:8" x14ac:dyDescent="0.25">
      <c r="A8" s="17" t="s">
        <v>460</v>
      </c>
      <c r="B8" s="59">
        <v>5910911</v>
      </c>
      <c r="C8" s="7">
        <v>6716707</v>
      </c>
      <c r="D8" s="114">
        <f t="shared" si="0"/>
        <v>0.13632348719173737</v>
      </c>
    </row>
    <row r="9" spans="1:8" x14ac:dyDescent="0.25">
      <c r="A9" s="18" t="s">
        <v>462</v>
      </c>
      <c r="B9" s="58">
        <v>1181405</v>
      </c>
      <c r="C9" s="8">
        <v>1188290</v>
      </c>
      <c r="D9" s="114">
        <f t="shared" si="0"/>
        <v>5.8278067216577245E-3</v>
      </c>
    </row>
    <row r="10" spans="1:8" x14ac:dyDescent="0.25">
      <c r="A10" s="17" t="s">
        <v>464</v>
      </c>
      <c r="B10" s="59">
        <v>544986</v>
      </c>
      <c r="C10" s="7">
        <v>507549</v>
      </c>
      <c r="D10" s="114">
        <f t="shared" si="0"/>
        <v>-6.8693507723134206E-2</v>
      </c>
    </row>
    <row r="11" spans="1:8" x14ac:dyDescent="0.25">
      <c r="A11" s="18" t="s">
        <v>463</v>
      </c>
      <c r="B11" s="58">
        <v>674256</v>
      </c>
      <c r="C11" s="8">
        <v>616808</v>
      </c>
      <c r="D11" s="114">
        <f t="shared" si="0"/>
        <v>-8.520205975178563E-2</v>
      </c>
    </row>
    <row r="12" spans="1:8" x14ac:dyDescent="0.25">
      <c r="A12" s="1"/>
      <c r="B12" s="1"/>
      <c r="C12" s="21"/>
    </row>
    <row r="13" spans="1:8" x14ac:dyDescent="0.25">
      <c r="A13" t="s">
        <v>544</v>
      </c>
    </row>
  </sheetData>
  <mergeCells count="2">
    <mergeCell ref="A3:C3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235</vt:i4>
      </vt:variant>
    </vt:vector>
  </HeadingPairs>
  <TitlesOfParts>
    <vt:vector size="235" baseType="lpstr">
      <vt:lpstr>Índice</vt:lpstr>
      <vt:lpstr>Fig 1.1</vt:lpstr>
      <vt:lpstr>Fig 1.2</vt:lpstr>
      <vt:lpstr>Fig 1.3</vt:lpstr>
      <vt:lpstr>Fig 1.4</vt:lpstr>
      <vt:lpstr>Fig 1.5</vt:lpstr>
      <vt:lpstr>Fig 1.6</vt:lpstr>
      <vt:lpstr>Fig 1.7</vt:lpstr>
      <vt:lpstr>Tab 1.1</vt:lpstr>
      <vt:lpstr>Tab 1.2</vt:lpstr>
      <vt:lpstr>Tab 1.3</vt:lpstr>
      <vt:lpstr>Fig 2.1</vt:lpstr>
      <vt:lpstr>Fig 2.2</vt:lpstr>
      <vt:lpstr>Fig 2.3</vt:lpstr>
      <vt:lpstr>Fig 2.4</vt:lpstr>
      <vt:lpstr>Fig 2.5</vt:lpstr>
      <vt:lpstr>Fig 2.6</vt:lpstr>
      <vt:lpstr>Fig 2.7</vt:lpstr>
      <vt:lpstr>Fig 2.8</vt:lpstr>
      <vt:lpstr>Fig 2.9</vt:lpstr>
      <vt:lpstr>Fig 2.10</vt:lpstr>
      <vt:lpstr>Fig 2.11</vt:lpstr>
      <vt:lpstr>IBGE POP PIB</vt:lpstr>
      <vt:lpstr>Fig 2.12</vt:lpstr>
      <vt:lpstr>Fig 2.13</vt:lpstr>
      <vt:lpstr>Fig 2.14</vt:lpstr>
      <vt:lpstr>Fig 2.15</vt:lpstr>
      <vt:lpstr>Fig 2.16</vt:lpstr>
      <vt:lpstr>Fig 2.17</vt:lpstr>
      <vt:lpstr>Fig 2.18</vt:lpstr>
      <vt:lpstr>Fig 2.19</vt:lpstr>
      <vt:lpstr>Fig 2.20</vt:lpstr>
      <vt:lpstr>Fig 2.21</vt:lpstr>
      <vt:lpstr>Fig 2.22</vt:lpstr>
      <vt:lpstr>Fig 2.23</vt:lpstr>
      <vt:lpstr>Fig 2.24</vt:lpstr>
      <vt:lpstr>Fig 2.25</vt:lpstr>
      <vt:lpstr>Fig 2.26</vt:lpstr>
      <vt:lpstr>Fig 2.27</vt:lpstr>
      <vt:lpstr>Fig 2.28</vt:lpstr>
      <vt:lpstr>Fig 2.29</vt:lpstr>
      <vt:lpstr>Fig 2.30</vt:lpstr>
      <vt:lpstr>Fig 2.31</vt:lpstr>
      <vt:lpstr>Fig 2.32</vt:lpstr>
      <vt:lpstr>Fig 2.33</vt:lpstr>
      <vt:lpstr>Fig 2.34</vt:lpstr>
      <vt:lpstr>Fig 2.35</vt:lpstr>
      <vt:lpstr>Fig 2.36</vt:lpstr>
      <vt:lpstr>Fig 2.37</vt:lpstr>
      <vt:lpstr>Fig 2.38</vt:lpstr>
      <vt:lpstr>Fig 2.39</vt:lpstr>
      <vt:lpstr>Fig 2.40</vt:lpstr>
      <vt:lpstr>Fig 2.41</vt:lpstr>
      <vt:lpstr>Fig 2.42</vt:lpstr>
      <vt:lpstr>Fig 2.43</vt:lpstr>
      <vt:lpstr>Fig 2.44</vt:lpstr>
      <vt:lpstr>Fig 2.45</vt:lpstr>
      <vt:lpstr>Fig 3.1</vt:lpstr>
      <vt:lpstr>Fig 3.2</vt:lpstr>
      <vt:lpstr>Fig 3.3</vt:lpstr>
      <vt:lpstr>Fig 3.4</vt:lpstr>
      <vt:lpstr>Fig 3.5</vt:lpstr>
      <vt:lpstr>Fig 3.6</vt:lpstr>
      <vt:lpstr>Fig 3.7</vt:lpstr>
      <vt:lpstr>Fig 3.8</vt:lpstr>
      <vt:lpstr>Fig 3.9</vt:lpstr>
      <vt:lpstr>Fig 3.10</vt:lpstr>
      <vt:lpstr>Fig 3.11</vt:lpstr>
      <vt:lpstr>Fig 3.12</vt:lpstr>
      <vt:lpstr>Fig 3.13</vt:lpstr>
      <vt:lpstr>Fig 3.14</vt:lpstr>
      <vt:lpstr>Fig 3.15</vt:lpstr>
      <vt:lpstr>Fig 3.16</vt:lpstr>
      <vt:lpstr>Fig 3.17</vt:lpstr>
      <vt:lpstr>Fig 3.18</vt:lpstr>
      <vt:lpstr>Fig 3.19</vt:lpstr>
      <vt:lpstr>Fig 3.20</vt:lpstr>
      <vt:lpstr>Fig 3.21</vt:lpstr>
      <vt:lpstr>Fig 3.22</vt:lpstr>
      <vt:lpstr>Fig 3.23</vt:lpstr>
      <vt:lpstr>Fig 3.24</vt:lpstr>
      <vt:lpstr>Fig 3.25</vt:lpstr>
      <vt:lpstr>Fig 3.26</vt:lpstr>
      <vt:lpstr>Fig 3.27</vt:lpstr>
      <vt:lpstr>Fig 3.28</vt:lpstr>
      <vt:lpstr>Fig 3.29</vt:lpstr>
      <vt:lpstr>Fig 3.30</vt:lpstr>
      <vt:lpstr>Fig 3.31</vt:lpstr>
      <vt:lpstr>Fig 3.32</vt:lpstr>
      <vt:lpstr>Fig 3.33</vt:lpstr>
      <vt:lpstr>Fig 3.34</vt:lpstr>
      <vt:lpstr>Fig 3.35</vt:lpstr>
      <vt:lpstr>Fig 3.36</vt:lpstr>
      <vt:lpstr>Fig 3.37</vt:lpstr>
      <vt:lpstr>Fig 3.38</vt:lpstr>
      <vt:lpstr>Fig 3.39</vt:lpstr>
      <vt:lpstr>Fig 3.40</vt:lpstr>
      <vt:lpstr>Fig 3.41</vt:lpstr>
      <vt:lpstr>Fig 3.42</vt:lpstr>
      <vt:lpstr>Fig 3.43</vt:lpstr>
      <vt:lpstr>Fig 3.44</vt:lpstr>
      <vt:lpstr>Fig 3.45</vt:lpstr>
      <vt:lpstr>Fig 3.46</vt:lpstr>
      <vt:lpstr>Fig 3.47</vt:lpstr>
      <vt:lpstr>Fig 3.48</vt:lpstr>
      <vt:lpstr>Fig 3.49</vt:lpstr>
      <vt:lpstr>Fig 3.50</vt:lpstr>
      <vt:lpstr>Fig 3.51</vt:lpstr>
      <vt:lpstr>Fig 3.52</vt:lpstr>
      <vt:lpstr>Fig 3.53</vt:lpstr>
      <vt:lpstr>Fig 3.54</vt:lpstr>
      <vt:lpstr>Fig 3.55</vt:lpstr>
      <vt:lpstr>Fig 3.56</vt:lpstr>
      <vt:lpstr>Fig 3.57</vt:lpstr>
      <vt:lpstr>Fig 3.58</vt:lpstr>
      <vt:lpstr>Fig 3.59</vt:lpstr>
      <vt:lpstr>Fig 3.60</vt:lpstr>
      <vt:lpstr>Fig 3.61</vt:lpstr>
      <vt:lpstr>Fig 3.62</vt:lpstr>
      <vt:lpstr>Fig 4.1</vt:lpstr>
      <vt:lpstr>Fig 4.2</vt:lpstr>
      <vt:lpstr>Fig 4.3</vt:lpstr>
      <vt:lpstr>Fig 4.4</vt:lpstr>
      <vt:lpstr>Fig 4.5</vt:lpstr>
      <vt:lpstr>Fig 4.6</vt:lpstr>
      <vt:lpstr>Fig 4.7</vt:lpstr>
      <vt:lpstr>Fig 4.8</vt:lpstr>
      <vt:lpstr>Fig 4.9</vt:lpstr>
      <vt:lpstr>Fig 4.10</vt:lpstr>
      <vt:lpstr>Fig 4.11</vt:lpstr>
      <vt:lpstr>Fig 4.12</vt:lpstr>
      <vt:lpstr>Fig 4.13</vt:lpstr>
      <vt:lpstr>Fig 4.14</vt:lpstr>
      <vt:lpstr>Fig 4.15</vt:lpstr>
      <vt:lpstr>Fig 4.16</vt:lpstr>
      <vt:lpstr>Fig 5.1</vt:lpstr>
      <vt:lpstr>Fig 5.2</vt:lpstr>
      <vt:lpstr>Fig 5.3</vt:lpstr>
      <vt:lpstr>Fig 5.4</vt:lpstr>
      <vt:lpstr>Fig 5.5</vt:lpstr>
      <vt:lpstr>Fig 5.6</vt:lpstr>
      <vt:lpstr>Fig 5.7</vt:lpstr>
      <vt:lpstr>Fig 5.8</vt:lpstr>
      <vt:lpstr>Fig 5.9</vt:lpstr>
      <vt:lpstr>Fig 5.10</vt:lpstr>
      <vt:lpstr>Fig 5.11</vt:lpstr>
      <vt:lpstr>Fig 5.12</vt:lpstr>
      <vt:lpstr>Fig 5.13</vt:lpstr>
      <vt:lpstr>Fig 5.14</vt:lpstr>
      <vt:lpstr>Fig 5.15</vt:lpstr>
      <vt:lpstr>Fig 5.16</vt:lpstr>
      <vt:lpstr>Fig 6.1</vt:lpstr>
      <vt:lpstr>Fig 6.2</vt:lpstr>
      <vt:lpstr>Fig 6.3</vt:lpstr>
      <vt:lpstr>Fig 6.4</vt:lpstr>
      <vt:lpstr>Fig 6.5</vt:lpstr>
      <vt:lpstr>Fig 6.6</vt:lpstr>
      <vt:lpstr>Fig 6.7</vt:lpstr>
      <vt:lpstr>Fig 6.8</vt:lpstr>
      <vt:lpstr>Fig 6.9</vt:lpstr>
      <vt:lpstr>Fig 6.10</vt:lpstr>
      <vt:lpstr>Fig 6.11</vt:lpstr>
      <vt:lpstr>Fig 6.12</vt:lpstr>
      <vt:lpstr>Fig 6.13</vt:lpstr>
      <vt:lpstr>Fig 6.14</vt:lpstr>
      <vt:lpstr>Fig 6.15</vt:lpstr>
      <vt:lpstr>Fig 6.16</vt:lpstr>
      <vt:lpstr>Fig 6.17</vt:lpstr>
      <vt:lpstr>Fig 6.18</vt:lpstr>
      <vt:lpstr>Fig 6.19</vt:lpstr>
      <vt:lpstr>Fig 6.20</vt:lpstr>
      <vt:lpstr>Fig 6.21</vt:lpstr>
      <vt:lpstr>Fig 6.22</vt:lpstr>
      <vt:lpstr>Fig 6.23</vt:lpstr>
      <vt:lpstr>Fig 6.24</vt:lpstr>
      <vt:lpstr>Fig 6.25</vt:lpstr>
      <vt:lpstr>Fig 6.26</vt:lpstr>
      <vt:lpstr>Fig 6.27</vt:lpstr>
      <vt:lpstr>Fig 6.28</vt:lpstr>
      <vt:lpstr>Fig 6.29</vt:lpstr>
      <vt:lpstr>Fig 6.30</vt:lpstr>
      <vt:lpstr>Fig 6.31</vt:lpstr>
      <vt:lpstr>Fig 6.32</vt:lpstr>
      <vt:lpstr>Fig 6.33</vt:lpstr>
      <vt:lpstr>Fig 6.34</vt:lpstr>
      <vt:lpstr>Fig 6.35</vt:lpstr>
      <vt:lpstr>Fig 7.1</vt:lpstr>
      <vt:lpstr>Fig 7.2</vt:lpstr>
      <vt:lpstr>Fig 7.3</vt:lpstr>
      <vt:lpstr>Fig 7.4</vt:lpstr>
      <vt:lpstr>Fig 7.5</vt:lpstr>
      <vt:lpstr>RECEITA PASSAGEM</vt:lpstr>
      <vt:lpstr>Fig 7.6</vt:lpstr>
      <vt:lpstr>Fig 7.7</vt:lpstr>
      <vt:lpstr>Fig 7.8</vt:lpstr>
      <vt:lpstr>Fig 7.9</vt:lpstr>
      <vt:lpstr>Fig 7.10</vt:lpstr>
      <vt:lpstr>Fig 7.11</vt:lpstr>
      <vt:lpstr>Fig 7.12</vt:lpstr>
      <vt:lpstr>Fig 7.13</vt:lpstr>
      <vt:lpstr>Fig 7.14</vt:lpstr>
      <vt:lpstr>Fig 7.15</vt:lpstr>
      <vt:lpstr>Fig 7.16</vt:lpstr>
      <vt:lpstr>Fig 7.17</vt:lpstr>
      <vt:lpstr>Fig 7.18</vt:lpstr>
      <vt:lpstr>Fig 7.19</vt:lpstr>
      <vt:lpstr>Fig 7.20</vt:lpstr>
      <vt:lpstr>Fig 7.21</vt:lpstr>
      <vt:lpstr>Fig 7.22</vt:lpstr>
      <vt:lpstr>Fig 7.23</vt:lpstr>
      <vt:lpstr>Fig 7.24</vt:lpstr>
      <vt:lpstr>Fig 7.25</vt:lpstr>
      <vt:lpstr>Fig 7.26</vt:lpstr>
      <vt:lpstr>Fig 7.27</vt:lpstr>
      <vt:lpstr>Fig 7.28</vt:lpstr>
      <vt:lpstr>Fig 7.29</vt:lpstr>
      <vt:lpstr>Fig 7.30</vt:lpstr>
      <vt:lpstr>Fig 7.31</vt:lpstr>
      <vt:lpstr>ASK ATK</vt:lpstr>
      <vt:lpstr>RECEITA E CUSTO</vt:lpstr>
      <vt:lpstr>Fig 7.32</vt:lpstr>
      <vt:lpstr>Fig 7.33</vt:lpstr>
      <vt:lpstr>Fig 7.34</vt:lpstr>
      <vt:lpstr>Fig 7.35</vt:lpstr>
      <vt:lpstr>Fig 7.36</vt:lpstr>
      <vt:lpstr>Fig 7.37</vt:lpstr>
      <vt:lpstr>Fig 7.38</vt:lpstr>
      <vt:lpstr>Fig 7.39</vt:lpstr>
      <vt:lpstr>Fig 7.40</vt:lpstr>
      <vt:lpstr>Fig 7.41</vt:lpstr>
      <vt:lpstr>Fig 7.42</vt:lpstr>
      <vt:lpstr>Fig 7.43</vt:lpstr>
      <vt:lpstr>Fig 7.44</vt:lpstr>
      <vt:lpstr>Fig 7.45</vt:lpstr>
      <vt:lpstr>Fim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 de Castro Alves</dc:creator>
  <cp:lastModifiedBy>Rafael Oliveira de Castro Alves</cp:lastModifiedBy>
  <cp:lastPrinted>2014-09-26T19:47:04Z</cp:lastPrinted>
  <dcterms:created xsi:type="dcterms:W3CDTF">2013-09-06T19:56:17Z</dcterms:created>
  <dcterms:modified xsi:type="dcterms:W3CDTF">2019-08-07T14:46:28Z</dcterms:modified>
</cp:coreProperties>
</file>