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Users\mh723\Downloads\"/>
    </mc:Choice>
  </mc:AlternateContent>
  <xr:revisionPtr revIDLastSave="0" documentId="8_{5C9DA2BA-2A4A-45A3-A893-5C1EA2C3FF0E}" xr6:coauthVersionLast="45" xr6:coauthVersionMax="45" xr10:uidLastSave="{00000000-0000-0000-0000-000000000000}"/>
  <bookViews>
    <workbookView xWindow="-120" yWindow="-120" windowWidth="20730" windowHeight="11760" xr2:uid="{24B27C23-68BE-4952-95A7-88AD661B6AF5}"/>
  </bookViews>
  <sheets>
    <sheet name="Pond" sheetId="1" r:id="rId1"/>
    <sheet name="Support System" sheetId="4" r:id="rId2"/>
    <sheet name="Packaging facility" sheetId="6" r:id="rId3"/>
    <sheet name="Admin facility " sheetId="7" r:id="rId4"/>
    <sheet name="Sheet2" sheetId="8" r:id="rId5"/>
    <sheet name="hectare calc"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6" l="1"/>
  <c r="F4" i="6"/>
  <c r="F5" i="6"/>
  <c r="F6" i="6"/>
  <c r="F7" i="6"/>
  <c r="H8" i="6"/>
  <c r="K8" i="6"/>
  <c r="H9" i="6"/>
  <c r="K9" i="6" s="1"/>
  <c r="H10" i="6"/>
  <c r="K10" i="6"/>
  <c r="H11" i="6"/>
  <c r="K11" i="6" s="1"/>
  <c r="H12" i="6"/>
  <c r="K12" i="6" s="1"/>
  <c r="F13" i="6"/>
  <c r="H13" i="6"/>
  <c r="F14" i="6"/>
  <c r="H14" i="6"/>
  <c r="K14" i="6" s="1"/>
  <c r="F15" i="6"/>
  <c r="F16" i="6"/>
  <c r="H16" i="6"/>
  <c r="K16" i="6" s="1"/>
  <c r="F17" i="6"/>
  <c r="H17" i="6"/>
  <c r="J17" i="6" s="1"/>
  <c r="F18" i="6"/>
  <c r="H18" i="6"/>
  <c r="K18" i="6" s="1"/>
  <c r="F19" i="6"/>
  <c r="H19" i="6"/>
  <c r="K19" i="6" s="1"/>
  <c r="F20" i="6"/>
  <c r="H20" i="6"/>
  <c r="K20" i="6" s="1"/>
  <c r="F21" i="6"/>
  <c r="H21" i="6"/>
  <c r="F22" i="6"/>
  <c r="H22" i="6"/>
  <c r="K22" i="6" s="1"/>
  <c r="F23" i="6"/>
  <c r="H23" i="6"/>
  <c r="K23" i="6" s="1"/>
  <c r="F24" i="6"/>
  <c r="J24" i="6" s="1"/>
  <c r="H24" i="6"/>
  <c r="K24" i="6" s="1"/>
  <c r="J10" i="1"/>
  <c r="I10" i="1"/>
  <c r="H10" i="1"/>
  <c r="H4" i="1"/>
  <c r="I4" i="1"/>
  <c r="J4" i="1"/>
  <c r="K37" i="6"/>
  <c r="B1" i="9"/>
  <c r="H1" i="9"/>
  <c r="K1" i="9"/>
  <c r="B2" i="9" s="1"/>
  <c r="C4" i="9"/>
  <c r="B6" i="9"/>
  <c r="E6" i="9"/>
  <c r="F6" i="9"/>
  <c r="K31" i="7"/>
  <c r="K14" i="7"/>
  <c r="J18" i="6" l="1"/>
  <c r="J20" i="6"/>
  <c r="J16" i="6"/>
  <c r="J23" i="6"/>
  <c r="J22" i="6"/>
  <c r="J19" i="6"/>
  <c r="J14" i="6"/>
  <c r="J21" i="6"/>
  <c r="J13" i="6"/>
  <c r="K17" i="6"/>
  <c r="K13" i="6"/>
  <c r="J4" i="4"/>
  <c r="J5" i="4"/>
  <c r="J6" i="4"/>
  <c r="J3" i="4"/>
  <c r="J7" i="4" s="1"/>
  <c r="G7" i="4"/>
  <c r="F7" i="4"/>
  <c r="H4" i="4"/>
  <c r="H5" i="4" s="1"/>
  <c r="I4" i="4"/>
  <c r="I3" i="4"/>
  <c r="H6" i="4"/>
  <c r="I6" i="4" s="1"/>
  <c r="F29" i="6"/>
  <c r="J29" i="6" s="1"/>
  <c r="F27" i="7"/>
  <c r="J27" i="7"/>
  <c r="J31" i="7" s="1"/>
  <c r="K27" i="7"/>
  <c r="F28" i="7"/>
  <c r="J28" i="7"/>
  <c r="K28" i="7"/>
  <c r="F29" i="7"/>
  <c r="J29" i="7" s="1"/>
  <c r="K29" i="7"/>
  <c r="F30" i="7"/>
  <c r="J30" i="7" s="1"/>
  <c r="K30" i="7"/>
  <c r="F3" i="7"/>
  <c r="H3" i="7"/>
  <c r="K3" i="7" s="1"/>
  <c r="F4" i="7"/>
  <c r="F5" i="7"/>
  <c r="F6" i="7"/>
  <c r="F7" i="7"/>
  <c r="H7" i="7"/>
  <c r="K7" i="7" s="1"/>
  <c r="K8" i="7"/>
  <c r="K9" i="7"/>
  <c r="K10" i="7"/>
  <c r="K11" i="7"/>
  <c r="K12" i="7"/>
  <c r="F13" i="7"/>
  <c r="J13" i="7" s="1"/>
  <c r="K13" i="7"/>
  <c r="F14" i="7"/>
  <c r="J14" i="7"/>
  <c r="F15" i="7"/>
  <c r="F16" i="7"/>
  <c r="J16" i="7"/>
  <c r="K16" i="7"/>
  <c r="F17" i="7"/>
  <c r="J17" i="7"/>
  <c r="K17" i="7"/>
  <c r="F18" i="7"/>
  <c r="J18" i="7" s="1"/>
  <c r="K18" i="7"/>
  <c r="F19" i="7"/>
  <c r="J19" i="7"/>
  <c r="F20" i="7"/>
  <c r="J20" i="7" s="1"/>
  <c r="F21" i="7"/>
  <c r="J21" i="7"/>
  <c r="F22" i="7"/>
  <c r="J22" i="7" s="1"/>
  <c r="K22" i="7"/>
  <c r="F23" i="7"/>
  <c r="J23" i="7" s="1"/>
  <c r="K23" i="7"/>
  <c r="F24" i="7"/>
  <c r="J24" i="7"/>
  <c r="K24" i="7"/>
  <c r="K29" i="6"/>
  <c r="K28" i="6"/>
  <c r="K27" i="6"/>
  <c r="F28" i="6"/>
  <c r="J28" i="6" s="1"/>
  <c r="F27" i="6"/>
  <c r="J27" i="6" s="1"/>
  <c r="H5" i="6" l="1"/>
  <c r="H3" i="6"/>
  <c r="H15" i="6"/>
  <c r="H7" i="6"/>
  <c r="H4" i="6"/>
  <c r="K30" i="6"/>
  <c r="J30" i="6"/>
  <c r="J7" i="7"/>
  <c r="J3" i="7"/>
  <c r="H7" i="4"/>
  <c r="I5" i="4"/>
  <c r="I7" i="4"/>
  <c r="H5" i="7"/>
  <c r="K5" i="7" s="1"/>
  <c r="H4" i="7"/>
  <c r="J4" i="7" s="1"/>
  <c r="H15" i="7"/>
  <c r="H6" i="6"/>
  <c r="F36" i="6"/>
  <c r="J36" i="6" s="1"/>
  <c r="F35" i="6"/>
  <c r="F33" i="6"/>
  <c r="F32" i="6"/>
  <c r="F31" i="6"/>
  <c r="G36" i="6"/>
  <c r="J6" i="6" l="1"/>
  <c r="K6" i="6"/>
  <c r="J7" i="6"/>
  <c r="K7" i="6"/>
  <c r="K15" i="6"/>
  <c r="J15" i="6"/>
  <c r="J3" i="6"/>
  <c r="J26" i="6" s="1"/>
  <c r="K3" i="6"/>
  <c r="J4" i="6"/>
  <c r="K4" i="6"/>
  <c r="J5" i="6"/>
  <c r="K5" i="6"/>
  <c r="J5" i="7"/>
  <c r="K15" i="7"/>
  <c r="J15" i="7"/>
  <c r="K4" i="7"/>
  <c r="H6" i="7"/>
  <c r="J35" i="6"/>
  <c r="J37" i="6" s="1"/>
  <c r="G35" i="6"/>
  <c r="G32" i="6"/>
  <c r="K32" i="6" s="1"/>
  <c r="G33" i="6"/>
  <c r="K33" i="6" s="1"/>
  <c r="J33" i="6"/>
  <c r="J32" i="6"/>
  <c r="J31" i="6"/>
  <c r="G31" i="6"/>
  <c r="K31" i="6" s="1"/>
  <c r="K34" i="6" l="1"/>
  <c r="K26" i="6"/>
  <c r="J34" i="6"/>
  <c r="J6" i="7"/>
  <c r="J26" i="7" s="1"/>
  <c r="K6" i="7"/>
  <c r="K26" i="7" s="1"/>
  <c r="F11" i="1" l="1"/>
  <c r="H8" i="1"/>
  <c r="J8" i="1" s="1"/>
  <c r="F8" i="1"/>
  <c r="I8" i="1" s="1"/>
  <c r="H7" i="1"/>
  <c r="H6" i="1"/>
  <c r="I6" i="1" l="1"/>
  <c r="I7" i="1"/>
  <c r="J7" i="1" l="1"/>
  <c r="H5" i="1"/>
  <c r="J5" i="1" l="1"/>
  <c r="G11" i="1"/>
  <c r="H11" i="1"/>
  <c r="I11" i="1" l="1"/>
  <c r="J11" i="1"/>
  <c r="I5" i="1"/>
</calcChain>
</file>

<file path=xl/sharedStrings.xml><?xml version="1.0" encoding="utf-8"?>
<sst xmlns="http://schemas.openxmlformats.org/spreadsheetml/2006/main" count="427" uniqueCount="187">
  <si>
    <t>WP</t>
  </si>
  <si>
    <t>WP ID</t>
  </si>
  <si>
    <t xml:space="preserve">Cost per unit </t>
  </si>
  <si>
    <t xml:space="preserve">Total Cost </t>
  </si>
  <si>
    <t>duration in days</t>
  </si>
  <si>
    <t>WP Deliverable</t>
  </si>
  <si>
    <t>Risks</t>
  </si>
  <si>
    <t>Acceptance Criteria</t>
  </si>
  <si>
    <t>Resources Assigned</t>
  </si>
  <si>
    <t>Quantity</t>
  </si>
  <si>
    <t>Human Resource</t>
  </si>
  <si>
    <t>Equipment</t>
  </si>
  <si>
    <t>Material</t>
  </si>
  <si>
    <t>Activities List</t>
  </si>
  <si>
    <t>-</t>
  </si>
  <si>
    <t>X</t>
  </si>
  <si>
    <t>Objectives</t>
  </si>
  <si>
    <t>Stakeholder</t>
  </si>
  <si>
    <t>Stakeholder Requirement</t>
  </si>
  <si>
    <t>References</t>
  </si>
  <si>
    <t>item number</t>
  </si>
  <si>
    <t>Construction of shade</t>
  </si>
  <si>
    <t>buliding steel structure</t>
  </si>
  <si>
    <t>wraping shade</t>
  </si>
  <si>
    <t>https://www.alibaba.com/product-detail/HDPE-Plastic-UV-Treated-Agriculture-Farming_62546812851.html?spm=a2700.galleryofferlist.0.0.3482b4efbueYBU&amp;s=p&amp;bypass=true</t>
  </si>
  <si>
    <t xml:space="preserve">unit per duration </t>
  </si>
  <si>
    <t>50 workers</t>
  </si>
  <si>
    <t>STANDARD PRODUCTIVITY RATES</t>
  </si>
  <si>
    <t xml:space="preserve">40 excavators </t>
  </si>
  <si>
    <t>https://planningengineer.net/earth-moving-equipment-function-and-standard-productivity/</t>
  </si>
  <si>
    <t>5 Vibratory Roller</t>
  </si>
  <si>
    <t xml:space="preserve">Compacting  &amp;Levelling pond </t>
  </si>
  <si>
    <t>fish farming pond liner(hdpe)</t>
  </si>
  <si>
    <t>Carry to collection</t>
  </si>
  <si>
    <t>Filling</t>
  </si>
  <si>
    <t>dis</t>
  </si>
  <si>
    <t>Clearing &amp; Grubbing</t>
  </si>
  <si>
    <t>Sq.M.</t>
  </si>
  <si>
    <t>Cu.M.</t>
  </si>
  <si>
    <t>Plinth beams</t>
  </si>
  <si>
    <t>Walls</t>
  </si>
  <si>
    <t>Kgs.</t>
  </si>
  <si>
    <t>Beams / Lintels / Ribs</t>
  </si>
  <si>
    <t>Columns</t>
  </si>
  <si>
    <t>Slabs and Projections</t>
  </si>
  <si>
    <t>Steps and staircases</t>
  </si>
  <si>
    <t>Parapet Wall</t>
  </si>
  <si>
    <t>Insulation</t>
  </si>
  <si>
    <t>Separation Layer</t>
  </si>
  <si>
    <t>Surfacing</t>
  </si>
  <si>
    <t>Air-Conditioning Works (HVAC Works)</t>
  </si>
  <si>
    <t xml:space="preserve">Plain insitu concrete with OPC </t>
  </si>
  <si>
    <t>Columns &amp; Walls up to plinth</t>
  </si>
  <si>
    <t>Solar Power system</t>
  </si>
  <si>
    <t>Water treatment system</t>
  </si>
  <si>
    <t>MEP Work</t>
  </si>
  <si>
    <t>Installing Solar Charge Controllers</t>
  </si>
  <si>
    <t>Installing Battery System</t>
  </si>
  <si>
    <t>Installing Inverters</t>
  </si>
  <si>
    <t>Installing Solar Panels</t>
  </si>
  <si>
    <t>Installing pH sensors</t>
  </si>
  <si>
    <t>Installing Water Level Sensors</t>
  </si>
  <si>
    <t>Installing Water Temperature Sensors</t>
  </si>
  <si>
    <t>Installing Oxygen concentration sensors</t>
  </si>
  <si>
    <t>Automated Harvesting System</t>
  </si>
  <si>
    <t>Installing Clam Shell Grader</t>
  </si>
  <si>
    <t>Automated Feeding System</t>
  </si>
  <si>
    <t>Installing Feeding Tanks</t>
  </si>
  <si>
    <t>Installing Feeding Mechanism</t>
  </si>
  <si>
    <t>Feeding System Controller</t>
  </si>
  <si>
    <t>Supplying specific feed to each pond</t>
  </si>
  <si>
    <t>Water Quality Management System</t>
  </si>
  <si>
    <t>Installing reverse osmosis system</t>
  </si>
  <si>
    <t>Recirculating Aquaculture Filtering system</t>
  </si>
  <si>
    <t>Installing Fish Waste Disposal System</t>
  </si>
  <si>
    <t>Installing Mechanical Filters</t>
  </si>
  <si>
    <t>Installing Bio Filters</t>
  </si>
  <si>
    <t>Installing UV disinfection filters</t>
  </si>
  <si>
    <t>Installing degassing filters</t>
  </si>
  <si>
    <t>Installing air pumps</t>
  </si>
  <si>
    <t>Testing Mechanism</t>
  </si>
  <si>
    <t>Packaging System</t>
  </si>
  <si>
    <t>Installing conveyor belt system</t>
  </si>
  <si>
    <t>Installing individual Quick Freezing (QF) tunnel</t>
  </si>
  <si>
    <t>Storage system</t>
  </si>
  <si>
    <t>Installing racks</t>
  </si>
  <si>
    <t>Installing roll up doors</t>
  </si>
  <si>
    <t>https://www.alibaba.com/product-detail/Logo-Customization-Individual-Freezing-Quick-Leading_62552035480.html?spm=a2700.galleryofferlist.0.0.754e32cdbsv93Q&amp;s=p&amp;bypass=true</t>
  </si>
  <si>
    <t>https://www.alibaba.com/product-detail/China-manufacturer-customized-conveyor-belt_60404043081.html?spm=a2700.details.deiletai6.2.4ec97704q3TO9b</t>
  </si>
  <si>
    <t xml:space="preserve">Installing Bag Sealing Tape Machinery </t>
  </si>
  <si>
    <t>https://www.alibaba.com/product-detail/FRM-1120LD-HUALIAN-Bag-Sealing-Tape_1507683058.html?spm=a2700.galleryofferlist.0.0.3fbe2298cdxgi1&amp;bypass=true</t>
  </si>
  <si>
    <t>https://www.alibaba.com/product-detail/Food-Rack-System-Food-Or-Cold_62441503848.html?spm=a2700.galleryofferlist.0.0.6cbc3f9dtTBGcU&amp;s=p&amp;bypass=true</t>
  </si>
  <si>
    <t>https://www.alibaba.com/product-detail/Packaging-Customization-Up-Door-Roll-Fast_60838677269.html?spm=a2700.drainage_lp_1.0.0.45e36dd0a2Z7gA&amp;s=p&amp;bypass=true</t>
  </si>
  <si>
    <t>unit</t>
  </si>
  <si>
    <t xml:space="preserve">Excavating </t>
  </si>
  <si>
    <t>Disposal of material</t>
  </si>
  <si>
    <t xml:space="preserve">performing  Termite control treatment         </t>
  </si>
  <si>
    <t>installing Column footings</t>
  </si>
  <si>
    <t>Finishing (Subcontracted)</t>
  </si>
  <si>
    <t>https://www.alibaba.com/product-detail/6-8-10-12-14-16_62210784624.html?spm=a2700.7724857.normalList.2.25e2436boQDC4q&amp;s=p&amp;fullFirstScreen=true</t>
  </si>
  <si>
    <t>installing High yield deformed re-bar</t>
  </si>
  <si>
    <t>constructing Grade slab</t>
  </si>
  <si>
    <t>https://hipages.com.au/article/cost_of_concrete_per_m3</t>
  </si>
  <si>
    <t>10 Mason, 10 Helper</t>
  </si>
  <si>
    <t>Finishing cont.sybstructure</t>
  </si>
  <si>
    <t>https://www.alibaba.com/product-detail/20TON-Rooftop-air-cooled-unit_60380990411.html?spm=a2700.details.deiletai6.8.40695fb5BztEpt&amp;bypass=true</t>
  </si>
  <si>
    <t>Outdoor Unit (OU-UB); 20 Ton</t>
  </si>
  <si>
    <t xml:space="preserve">Ducting &amp; accessories </t>
  </si>
  <si>
    <t>indoor unit -2; 1.3 Ton</t>
  </si>
  <si>
    <t>indoor unit -1; 1 Ton</t>
  </si>
  <si>
    <t>inspection by engineer</t>
  </si>
  <si>
    <t>dimentional accuracy +- 75mm</t>
  </si>
  <si>
    <t xml:space="preserve">SUB STRUCTURE &amp; SUPER STRUCTURE </t>
  </si>
  <si>
    <t>qa/qc engineer approval &amp; MEP enginner</t>
  </si>
  <si>
    <t>qa/qc engineer approval &amp; civil enginner</t>
  </si>
  <si>
    <t>https://www.alibaba.com/product-detail/Colombia-Hot-Selling-on-grid-solar_60470121347.html?spm=a2700.galleryofferlist.0.0.24a018578XVzoi</t>
  </si>
  <si>
    <t>https://www.alibaba.com/product-detail/2000W-3KW-4KW-5KW-Solar-Off_62003466366.html?spm=a2700.galleryofferlist.0.0.24a018578XVzoi</t>
  </si>
  <si>
    <t>https://www.alibaba.com/product-detail/Solar-battery-2v-2000ah-off-grid_610924741.html?spm=a2700.galleryofferlist.0.0.543b2582sfLUgb</t>
  </si>
  <si>
    <t>https://www.alibaba.com/product-detail/Lumiax-12V-24V-40A-MPPT-Solar_60714297192.html?spm=a2700.galleryofferlist.0.0.7d792440hoHJJB</t>
  </si>
  <si>
    <t>Acceptance Criteria: approved by civil engineer</t>
  </si>
  <si>
    <t>Risks: worker safety, weather could cause delays</t>
  </si>
  <si>
    <t>Resources assigned: Excavator</t>
  </si>
  <si>
    <t>Duration:3 days</t>
  </si>
  <si>
    <t>Work package Name /Number:Site cleaning</t>
  </si>
  <si>
    <t>Work package deliverable Description: Clearing   shall comprise clearing all trees, down timber, snags, bush, other vegetation, rubbish and all other objectionable material and shall include grubbing roots, stumps and matted roots etc. complete up to required depth (150mm) and / or as directed by the Engineer</t>
  </si>
  <si>
    <t xml:space="preserve">Resources assigned: Excavator </t>
  </si>
  <si>
    <t>Cost:788 usd *</t>
  </si>
  <si>
    <t>Work package Name /Number: diging pond and linning</t>
  </si>
  <si>
    <t>Cost:4199234 usd</t>
  </si>
  <si>
    <t>Duration:110 days</t>
  </si>
  <si>
    <t>Work package Name /Number: Construction of shade</t>
  </si>
  <si>
    <t>Work package deliverable Description:Excavation 
Carry to collection
Compacting  &amp;Levelling pond 
fish farming pond liner(hdpe)</t>
  </si>
  <si>
    <t>Work package deliverable Description: steel structure construction and wraping of the shade</t>
  </si>
  <si>
    <t>Work package Name /Number: Solar Power system</t>
  </si>
  <si>
    <t>Work package deliverable Description: Installing Solar Panels
Installing Solar Charge Controllers
Installing Battery System
Installing Inverters</t>
  </si>
  <si>
    <t xml:space="preserve">Cost: $242,714.29 </t>
  </si>
  <si>
    <t>Duration:22 days</t>
  </si>
  <si>
    <t xml:space="preserve">Cost:  $489,848.68  </t>
  </si>
  <si>
    <t xml:space="preserve">Work package Name /Number: admin building substructure </t>
  </si>
  <si>
    <t>Clearing &amp; Grubbing,Excavating ,Filling,Disposal of material,performing 
Termite control treatment,constructing Grade slab,installing High yield deformed re-bar,Finishing cont.sybstructure,
Beams / Lintels / Ribs,Columns,Slabs and Projections,Steps and staircases,Parapet Wall,Walls
water proofing :Insulation,Separation Layer,Surfacing</t>
  </si>
  <si>
    <t xml:space="preserve">Work package Name /Number: admin building substructure &amp; superstructure </t>
  </si>
  <si>
    <t>Duration:370 days</t>
  </si>
  <si>
    <t>Work package Name /Number: admin building MEP Work</t>
  </si>
  <si>
    <t xml:space="preserve">Cost:   $36,797.81  </t>
  </si>
  <si>
    <t>Duration: 131 days</t>
  </si>
  <si>
    <t xml:space="preserve">Work package Name /Number: packaging facility sub/super structure </t>
  </si>
  <si>
    <t xml:space="preserve">Cost:    $649,162.09 </t>
  </si>
  <si>
    <t>Duration: 374 days</t>
  </si>
  <si>
    <t>consumtion</t>
  </si>
  <si>
    <t>for</t>
  </si>
  <si>
    <t>=</t>
  </si>
  <si>
    <t xml:space="preserve">for </t>
  </si>
  <si>
    <t>total number of ponds</t>
  </si>
  <si>
    <t>9.375 tons per pond every 6 months</t>
  </si>
  <si>
    <t>http://www.fao.org/3/AC155E16.htm</t>
  </si>
  <si>
    <t>HA</t>
  </si>
  <si>
    <t>m^2</t>
  </si>
  <si>
    <t xml:space="preserve">AREA </t>
  </si>
  <si>
    <t>https://steemit.com/engineering/@kharrazi/excavator-and-calculate-its-productivity</t>
  </si>
  <si>
    <t>m^3</t>
  </si>
  <si>
    <t>excvator m^3 per hr</t>
  </si>
  <si>
    <t xml:space="preserve">number of excvator </t>
  </si>
  <si>
    <t xml:space="preserve">number of hrs to excvate </t>
  </si>
  <si>
    <t>days</t>
  </si>
  <si>
    <t>HIGHT OF 2 m</t>
  </si>
  <si>
    <t>Work package Name /Number: packaging facility MEP WORK</t>
  </si>
  <si>
    <t>installing Outdoor Unit (OU-UB); 10 Ton</t>
  </si>
  <si>
    <t>installing indoor unit -1; 5 Ton</t>
  </si>
  <si>
    <t xml:space="preserve">Cost:      $26,852.05 </t>
  </si>
  <si>
    <t>Duration: 7 days</t>
  </si>
  <si>
    <t>Ducting &amp; accessories 
installing Outdoor Unit (OU-UB); 10 Ton
installing indoor unit -1; 5 Ton</t>
  </si>
  <si>
    <t>Work package Name /Number: packaging facility-Packaging System</t>
  </si>
  <si>
    <t>Duration: 4 days</t>
  </si>
  <si>
    <t xml:space="preserve">Cost:      $152,046.00 </t>
  </si>
  <si>
    <t xml:space="preserve">Cost:     $20,400.00 </t>
  </si>
  <si>
    <t>Duration: 3 days</t>
  </si>
  <si>
    <t>Installing racks,Installing roll up doors</t>
  </si>
  <si>
    <t>Work package Name /Number: packaging facility-storage System</t>
  </si>
  <si>
    <t xml:space="preserve">Installing conveyor belt system
Installing individual Quick Freezing (QF) tunnel
Installing Bag Sealing Tape Machinery </t>
  </si>
  <si>
    <t xml:space="preserve"> Monitoring Sensors</t>
  </si>
  <si>
    <t>Work package deliverable Description:Clearing &amp; Grubbing,Excavating ,Filling,Disposal of material,performing 
Termite control treatment,constructing Grade slab,installing High yield deformed re-bar,Finishing cont.sybstructure,
Beams / Lintels / Ribs,Columns,Slabs and Projections,Steps and staircases,Parapet Wall,Walls
water proofing :Insulation,Separation Layer,Surfacing</t>
  </si>
  <si>
    <t>Work package deliverable Description:Ducting &amp; accessories 
Outdoor Unit(evaporator) (OU-UB); 20 Ton
indoor cooling unit -1; 1 Ton
indoor cooling unit -2; 1.3 Ton
electrical work
and plumbing Work</t>
  </si>
  <si>
    <t>building  pond and linning</t>
  </si>
  <si>
    <t>Excavating</t>
  </si>
  <si>
    <t>site cleaning (subcontracting)</t>
  </si>
  <si>
    <t>https://books.google.com.qa/books?id=Fn3SwUueZaAC&amp;pg=PA209&amp;lpg=PA209&amp;dq=shade+steel+structure+for+fish+farm&amp;source=bl&amp;ots=LGWRNy-A_k&amp;sig=ACfU3U1_c1AnyjzOeJypjOvBQpq3GcuBWQ&amp;hl=en&amp;sa=X&amp;ved=2ahUKEwizz5zxk4fpAhUaWX0KHR69CqYQ6AEwCnoECAoQAQ#v=onepage&amp;q&amp;f=false</t>
  </si>
  <si>
    <t>https://www.alibaba.com/product-detail/Low-Cost-Prefab-Industrial-Shed-Designs_60767642249.html?spm=a2700.galleryofferlist.0.0.3e714116XpxTy3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</si>
</sst>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8" formatCode="&quot;$&quot;#,##0.00_);[Red]\(&quot;$&quot;#,##0.00\)"/>
    <numFmt numFmtId="44" formatCode="_(&quot;$&quot;* #,##0.00_);_(&quot;$&quot;* \(#,##0.00\);_(&quot;$&quot;* &quot;-&quot;??_);_(@_)"/>
    <numFmt numFmtId="43" formatCode="_(* #,##0.00_);_(* \(#,##0.00\);_(* &quot;-&quot;??_);_(@_)"/>
    <numFmt numFmtId="164" formatCode="0.000\ &quot;$ /Square meter&quot;"/>
    <numFmt numFmtId="165" formatCode="0.00\ &quot;m^3 /hr&quot;"/>
    <numFmt numFmtId="166" formatCode="0.00\ &quot;m^3&quot;"/>
    <numFmt numFmtId="167" formatCode="0.00\ &quot;m^2/hr&quot;"/>
    <numFmt numFmtId="168" formatCode="0.00\ &quot;m^2/(10hr day)&quot;"/>
    <numFmt numFmtId="169" formatCode="0.00\ &quot;m^2&quot;"/>
    <numFmt numFmtId="170" formatCode="_(* #,##0_);_(* \(#,##0\);_(* &quot;-&quot;??_);_(@_)"/>
    <numFmt numFmtId="171" formatCode="_-* #,##0.00_-;\-* #,##0.00_-;_-* &quot;-&quot;??_-;_-@_-"/>
    <numFmt numFmtId="172" formatCode="0.00\ &quot;hr&quot;"/>
    <numFmt numFmtId="173" formatCode="0.000"/>
    <numFmt numFmtId="174" formatCode="0.0"/>
    <numFmt numFmtId="175" formatCode="0.00\ &quot;per 10 day per labor unit&quot;"/>
    <numFmt numFmtId="176" formatCode="0\ &quot;tons&quot;"/>
    <numFmt numFmtId="177" formatCode="General\ &quot;ha&quot;"/>
    <numFmt numFmtId="178" formatCode="0.00\ &quot;ton/ha&quot;"/>
    <numFmt numFmtId="179" formatCode="0.00\ &quot;tons&quot;"/>
    <numFmt numFmtId="180" formatCode="0.00\ &quot;Year&quot;"/>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333333"/>
      <name val="Roboto"/>
    </font>
    <font>
      <sz val="10"/>
      <name val="Arial"/>
      <family val="2"/>
    </font>
    <font>
      <sz val="10"/>
      <color indexed="8"/>
      <name val="Arial"/>
      <family val="2"/>
    </font>
    <font>
      <sz val="11"/>
      <name val="Arial"/>
      <family val="2"/>
    </font>
    <font>
      <b/>
      <sz val="11"/>
      <name val="Arial"/>
      <family val="2"/>
    </font>
    <font>
      <sz val="12"/>
      <name val="Times New Roman"/>
      <family val="1"/>
    </font>
    <font>
      <sz val="11"/>
      <color indexed="8"/>
      <name val="Arial"/>
      <family val="2"/>
    </font>
    <font>
      <sz val="11"/>
      <color theme="1"/>
      <name val="Arial"/>
      <family val="2"/>
    </font>
    <font>
      <b/>
      <sz val="11"/>
      <color indexed="8"/>
      <name val="Arial"/>
      <family val="2"/>
    </font>
    <font>
      <b/>
      <sz val="11"/>
      <color theme="1"/>
      <name val="Arial"/>
      <family val="2"/>
    </font>
    <font>
      <b/>
      <sz val="9"/>
      <color rgb="FF333333"/>
      <name val="Roboto"/>
    </font>
    <font>
      <b/>
      <sz val="10"/>
      <color rgb="FF333333"/>
      <name val="Roboto"/>
    </font>
    <font>
      <sz val="8"/>
      <name val="Arial"/>
    </font>
    <font>
      <sz val="11"/>
      <name val="Arial"/>
    </font>
    <font>
      <b/>
      <sz val="11"/>
      <name val="Arial"/>
    </font>
    <font>
      <sz val="11"/>
      <color rgb="FF333333"/>
      <name val="Tahoma"/>
    </font>
    <font>
      <sz val="11"/>
      <color rgb="FFFF0000"/>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theme="9" tint="-0.249977111117893"/>
        <bgColor indexed="64"/>
      </patternFill>
    </fill>
  </fills>
  <borders count="14">
    <border>
      <left/>
      <right/>
      <top/>
      <bottom/>
      <diagonal/>
    </border>
    <border>
      <left/>
      <right/>
      <top/>
      <bottom style="thin">
        <color theme="1"/>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1" tint="0.34998626667073579"/>
      </right>
      <top style="thin">
        <color theme="1" tint="0.34998626667073579"/>
      </top>
      <bottom/>
      <diagonal/>
    </border>
    <border>
      <left style="thin">
        <color theme="1" tint="0.34998626667073579"/>
      </left>
      <right style="thin">
        <color indexed="64"/>
      </right>
      <top style="thin">
        <color theme="1" tint="0.34998626667073579"/>
      </top>
      <bottom/>
      <diagonal/>
    </border>
    <border>
      <left style="thin">
        <color indexed="64"/>
      </left>
      <right style="thin">
        <color indexed="64"/>
      </right>
      <top style="thin">
        <color theme="1" tint="0.34998626667073579"/>
      </top>
      <bottom/>
      <diagonal/>
    </border>
    <border>
      <left style="thin">
        <color indexed="64"/>
      </left>
      <right style="thin">
        <color theme="1" tint="0.34998626667073579"/>
      </right>
      <top/>
      <bottom/>
      <diagonal/>
    </border>
    <border>
      <left style="medium">
        <color indexed="64"/>
      </left>
      <right style="medium">
        <color indexed="64"/>
      </right>
      <top style="thin">
        <color indexed="64"/>
      </top>
      <bottom style="thin">
        <color indexed="64"/>
      </bottom>
      <diagonal/>
    </border>
  </borders>
  <cellStyleXfs count="26">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 fillId="0" borderId="0"/>
    <xf numFmtId="43" fontId="1" fillId="0" borderId="0" applyFont="0" applyFill="0" applyBorder="0" applyAlignment="0" applyProtection="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9" fillId="0" borderId="0"/>
    <xf numFmtId="43" fontId="9" fillId="0" borderId="0" applyFont="0" applyFill="0" applyBorder="0" applyAlignment="0" applyProtection="0"/>
    <xf numFmtId="0" fontId="9" fillId="0" borderId="0"/>
    <xf numFmtId="43" fontId="5" fillId="0" borderId="0" applyFont="0" applyFill="0" applyBorder="0" applyAlignment="0" applyProtection="0"/>
    <xf numFmtId="0" fontId="9" fillId="0" borderId="0"/>
    <xf numFmtId="171" fontId="5" fillId="0" borderId="0" applyFont="0" applyFill="0" applyBorder="0" applyAlignment="0" applyProtection="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1" fillId="0" borderId="0"/>
    <xf numFmtId="9" fontId="5" fillId="0" borderId="0" applyFont="0" applyFill="0" applyBorder="0" applyAlignment="0" applyProtection="0"/>
  </cellStyleXfs>
  <cellXfs count="195">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left" indent="1"/>
    </xf>
    <xf numFmtId="44" fontId="0" fillId="0" borderId="0" xfId="1" applyFont="1" applyAlignment="1">
      <alignment horizontal="center"/>
    </xf>
    <xf numFmtId="0" fontId="2" fillId="0" borderId="0" xfId="2"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44" fontId="0" fillId="0" borderId="0" xfId="0" applyNumberFormat="1" applyAlignment="1">
      <alignment horizontal="center"/>
    </xf>
    <xf numFmtId="1" fontId="0" fillId="0" borderId="0" xfId="0" applyNumberFormat="1" applyAlignment="1">
      <alignment horizontal="center"/>
    </xf>
    <xf numFmtId="44" fontId="0" fillId="0" borderId="0" xfId="1" applyFont="1" applyAlignment="1" applyProtection="1">
      <alignment horizontal="center"/>
      <protection locked="0"/>
    </xf>
    <xf numFmtId="167" fontId="0" fillId="0" borderId="0" xfId="0" applyNumberFormat="1" applyAlignment="1">
      <alignment horizontal="center"/>
    </xf>
    <xf numFmtId="0" fontId="2" fillId="0" borderId="0" xfId="2"/>
    <xf numFmtId="168" fontId="0" fillId="0" borderId="0" xfId="0" applyNumberFormat="1" applyAlignment="1">
      <alignment horizontal="center"/>
    </xf>
    <xf numFmtId="169" fontId="0" fillId="0" borderId="0" xfId="0" applyNumberFormat="1" applyAlignment="1">
      <alignment horizontal="center"/>
    </xf>
    <xf numFmtId="44" fontId="0" fillId="0" borderId="0" xfId="1" applyNumberFormat="1" applyFont="1" applyAlignment="1">
      <alignment horizontal="center"/>
    </xf>
    <xf numFmtId="0" fontId="4" fillId="0" borderId="0" xfId="0" applyFont="1"/>
    <xf numFmtId="168" fontId="0" fillId="3" borderId="0" xfId="0" applyNumberFormat="1" applyFill="1" applyAlignment="1">
      <alignment horizontal="center"/>
    </xf>
    <xf numFmtId="44" fontId="0" fillId="4" borderId="0" xfId="1" applyFont="1" applyFill="1" applyAlignment="1">
      <alignment horizontal="center"/>
    </xf>
    <xf numFmtId="44" fontId="0" fillId="3" borderId="0" xfId="1" applyFont="1" applyFill="1" applyAlignment="1">
      <alignment horizontal="center"/>
    </xf>
    <xf numFmtId="164" fontId="0" fillId="3" borderId="0" xfId="1" applyNumberFormat="1" applyFont="1" applyFill="1" applyAlignment="1">
      <alignment horizontal="left"/>
    </xf>
    <xf numFmtId="0" fontId="7" fillId="0" borderId="2" xfId="5" applyFont="1" applyBorder="1" applyAlignment="1">
      <alignment horizontal="center"/>
    </xf>
    <xf numFmtId="0" fontId="7" fillId="0" borderId="3" xfId="5" applyFont="1" applyBorder="1" applyAlignment="1">
      <alignment horizontal="center"/>
    </xf>
    <xf numFmtId="3" fontId="7" fillId="0" borderId="3" xfId="5" applyNumberFormat="1" applyFont="1" applyBorder="1" applyAlignment="1">
      <alignment horizontal="center"/>
    </xf>
    <xf numFmtId="0" fontId="8" fillId="0" borderId="2" xfId="5" applyFont="1" applyBorder="1" applyAlignment="1">
      <alignment horizontal="left" vertical="center"/>
    </xf>
    <xf numFmtId="0" fontId="7" fillId="0" borderId="3" xfId="7" applyFont="1" applyBorder="1" applyAlignment="1">
      <alignment vertical="center"/>
    </xf>
    <xf numFmtId="0" fontId="7" fillId="0" borderId="3" xfId="7" applyFont="1" applyBorder="1" applyAlignment="1">
      <alignment horizontal="center"/>
    </xf>
    <xf numFmtId="0" fontId="7" fillId="0" borderId="3" xfId="10" applyFont="1" applyBorder="1" applyAlignment="1">
      <alignment horizontal="center"/>
    </xf>
    <xf numFmtId="43" fontId="7" fillId="0" borderId="3" xfId="11" applyFont="1" applyFill="1" applyBorder="1" applyAlignment="1" applyProtection="1">
      <alignment horizontal="center"/>
      <protection locked="0"/>
    </xf>
    <xf numFmtId="0" fontId="7" fillId="0" borderId="3" xfId="9" applyFont="1" applyBorder="1" applyAlignment="1">
      <alignment horizontal="justify" vertical="top" wrapText="1"/>
    </xf>
    <xf numFmtId="0" fontId="10" fillId="0" borderId="3" xfId="9" applyFont="1" applyBorder="1" applyAlignment="1">
      <alignment horizontal="justify" vertical="top" wrapText="1"/>
    </xf>
    <xf numFmtId="0" fontId="7" fillId="0" borderId="3" xfId="10" applyFont="1" applyBorder="1" applyAlignment="1">
      <alignment horizontal="justify" vertical="top"/>
    </xf>
    <xf numFmtId="0" fontId="7" fillId="0" borderId="3" xfId="10" applyFont="1" applyBorder="1" applyAlignment="1">
      <alignment horizontal="justify" vertical="top" wrapText="1"/>
    </xf>
    <xf numFmtId="0" fontId="7" fillId="0" borderId="3" xfId="10" applyFont="1" applyBorder="1" applyAlignment="1">
      <alignment vertical="top" wrapText="1"/>
    </xf>
    <xf numFmtId="0" fontId="7" fillId="0" borderId="4" xfId="10" applyFont="1" applyBorder="1" applyAlignment="1">
      <alignment horizontal="justify" vertical="top" wrapText="1"/>
    </xf>
    <xf numFmtId="0" fontId="7" fillId="0" borderId="4" xfId="10" applyFont="1" applyBorder="1" applyAlignment="1">
      <alignment horizontal="center"/>
    </xf>
    <xf numFmtId="43" fontId="7" fillId="0" borderId="4" xfId="11" applyFont="1" applyFill="1" applyBorder="1" applyAlignment="1" applyProtection="1">
      <alignment horizontal="center"/>
      <protection locked="0"/>
    </xf>
    <xf numFmtId="0" fontId="8" fillId="0" borderId="3" xfId="10" applyFont="1" applyBorder="1" applyAlignment="1">
      <alignment vertical="center"/>
    </xf>
    <xf numFmtId="0" fontId="7" fillId="0" borderId="3" xfId="10" quotePrefix="1" applyFont="1" applyBorder="1" applyAlignment="1">
      <alignment horizontal="justify" vertical="top" wrapText="1"/>
    </xf>
    <xf numFmtId="0" fontId="7" fillId="0" borderId="3" xfId="10" applyFont="1" applyBorder="1" applyAlignment="1">
      <alignment vertical="center"/>
    </xf>
    <xf numFmtId="0" fontId="7" fillId="0" borderId="3" xfId="10" applyFont="1" applyBorder="1" applyAlignment="1">
      <alignment horizontal="center" vertical="center"/>
    </xf>
    <xf numFmtId="43" fontId="7" fillId="0" borderId="3" xfId="11" applyFont="1" applyFill="1" applyBorder="1" applyAlignment="1" applyProtection="1">
      <alignment horizontal="center" vertical="center"/>
      <protection locked="0"/>
    </xf>
    <xf numFmtId="0" fontId="7" fillId="0" borderId="3" xfId="10" applyFont="1" applyBorder="1" applyAlignment="1">
      <alignment horizontal="left" vertical="center"/>
    </xf>
    <xf numFmtId="170" fontId="7" fillId="0" borderId="3" xfId="13" applyNumberFormat="1" applyFont="1" applyBorder="1" applyAlignment="1" applyProtection="1">
      <alignment horizontal="center" vertical="center"/>
      <protection locked="0"/>
    </xf>
    <xf numFmtId="0" fontId="11" fillId="0" borderId="3" xfId="14" applyFont="1" applyBorder="1" applyAlignment="1">
      <alignment horizontal="justify" vertical="top" wrapText="1"/>
    </xf>
    <xf numFmtId="0" fontId="7" fillId="0" borderId="3" xfId="14" applyFont="1" applyBorder="1" applyAlignment="1">
      <alignment horizontal="center"/>
    </xf>
    <xf numFmtId="0" fontId="11" fillId="0" borderId="3" xfId="10" quotePrefix="1" applyFont="1" applyBorder="1" applyAlignment="1">
      <alignment horizontal="justify" vertical="top" wrapText="1"/>
    </xf>
    <xf numFmtId="0" fontId="7" fillId="0" borderId="3" xfId="10" applyFont="1" applyBorder="1" applyAlignment="1">
      <alignment horizontal="center" wrapText="1"/>
    </xf>
    <xf numFmtId="43" fontId="7" fillId="0" borderId="3" xfId="11" applyFont="1" applyFill="1" applyBorder="1" applyAlignment="1" applyProtection="1">
      <alignment horizontal="center" wrapText="1"/>
      <protection locked="0"/>
    </xf>
    <xf numFmtId="0" fontId="11" fillId="0" borderId="3" xfId="10" applyFont="1" applyBorder="1" applyAlignment="1">
      <alignment vertical="center"/>
    </xf>
    <xf numFmtId="0" fontId="10" fillId="0" borderId="3" xfId="10" quotePrefix="1" applyFont="1" applyBorder="1" applyAlignment="1">
      <alignment horizontal="left" vertical="center"/>
    </xf>
    <xf numFmtId="0" fontId="10" fillId="0" borderId="3" xfId="10" applyFont="1" applyBorder="1" applyAlignment="1">
      <alignment horizontal="justify" vertical="top" wrapText="1"/>
    </xf>
    <xf numFmtId="0" fontId="7" fillId="0" borderId="3" xfId="14" applyFont="1" applyBorder="1" applyAlignment="1">
      <alignment vertical="center"/>
    </xf>
    <xf numFmtId="0" fontId="7" fillId="0" borderId="3" xfId="14" applyFont="1" applyBorder="1" applyAlignment="1">
      <alignment horizontal="center" vertical="center"/>
    </xf>
    <xf numFmtId="0" fontId="7" fillId="0" borderId="3" xfId="14" applyFont="1" applyBorder="1" applyAlignment="1">
      <alignment horizontal="justify" vertical="top" wrapText="1"/>
    </xf>
    <xf numFmtId="0" fontId="7" fillId="0" borderId="3" xfId="16" applyFont="1" applyBorder="1" applyAlignment="1">
      <alignment horizontal="justify" vertical="top" wrapText="1"/>
    </xf>
    <xf numFmtId="0" fontId="7" fillId="0" borderId="3" xfId="16" applyFont="1" applyBorder="1" applyAlignment="1">
      <alignment horizontal="center"/>
    </xf>
    <xf numFmtId="0" fontId="7" fillId="0" borderId="3" xfId="16" applyFont="1" applyBorder="1" applyAlignment="1">
      <alignment horizontal="center" vertical="center"/>
    </xf>
    <xf numFmtId="0" fontId="11" fillId="0" borderId="3" xfId="17" applyFont="1" applyBorder="1" applyAlignment="1">
      <alignment horizontal="left" vertical="top" wrapText="1"/>
    </xf>
    <xf numFmtId="0" fontId="7" fillId="0" borderId="3" xfId="17" applyFont="1" applyBorder="1" applyAlignment="1">
      <alignment horizontal="center"/>
    </xf>
    <xf numFmtId="0" fontId="12" fillId="0" borderId="3" xfId="18" applyFont="1" applyBorder="1" applyAlignment="1">
      <alignment vertical="center"/>
    </xf>
    <xf numFmtId="0" fontId="8" fillId="0" borderId="3" xfId="19" applyFont="1" applyBorder="1" applyAlignment="1">
      <alignment vertical="center"/>
    </xf>
    <xf numFmtId="0" fontId="8" fillId="0" borderId="3" xfId="19" applyFont="1" applyBorder="1" applyAlignment="1">
      <alignment horizontal="center" vertical="center"/>
    </xf>
    <xf numFmtId="43" fontId="8" fillId="0" borderId="3" xfId="11" applyFont="1" applyFill="1" applyBorder="1" applyAlignment="1" applyProtection="1">
      <alignment horizontal="center" vertical="center"/>
      <protection locked="0"/>
    </xf>
    <xf numFmtId="0" fontId="7" fillId="0" borderId="3" xfId="20" applyFont="1" applyBorder="1" applyAlignment="1">
      <alignment horizontal="justify" vertical="top" wrapText="1"/>
    </xf>
    <xf numFmtId="0" fontId="7" fillId="0" borderId="3" xfId="21" applyFont="1" applyBorder="1" applyAlignment="1">
      <alignment horizontal="center"/>
    </xf>
    <xf numFmtId="0" fontId="7" fillId="0" borderId="3" xfId="22" applyFont="1" applyBorder="1" applyAlignment="1">
      <alignment horizontal="center"/>
    </xf>
    <xf numFmtId="0" fontId="7" fillId="0" borderId="3" xfId="11" applyNumberFormat="1" applyFont="1" applyFill="1" applyBorder="1" applyAlignment="1" applyProtection="1">
      <alignment horizontal="center" vertical="center"/>
    </xf>
    <xf numFmtId="0" fontId="7" fillId="0" borderId="3" xfId="23" applyFont="1" applyBorder="1" applyAlignment="1">
      <alignment horizontal="center" vertical="center"/>
    </xf>
    <xf numFmtId="170" fontId="7" fillId="0" borderId="3" xfId="13" applyNumberFormat="1" applyFont="1" applyFill="1" applyBorder="1" applyAlignment="1" applyProtection="1">
      <alignment horizontal="center" vertical="center"/>
      <protection locked="0"/>
    </xf>
    <xf numFmtId="0" fontId="7" fillId="0" borderId="3" xfId="19" applyFont="1" applyBorder="1" applyAlignment="1">
      <alignment horizontal="justify" vertical="top" wrapText="1"/>
    </xf>
    <xf numFmtId="0" fontId="8" fillId="0" borderId="3" xfId="7" applyFont="1" applyBorder="1" applyAlignment="1">
      <alignment vertical="center"/>
    </xf>
    <xf numFmtId="0" fontId="7" fillId="0" borderId="3" xfId="19" applyFont="1" applyBorder="1" applyAlignment="1">
      <alignment horizontal="center" vertical="center"/>
    </xf>
    <xf numFmtId="0" fontId="7" fillId="0" borderId="3" xfId="22" applyFont="1" applyBorder="1" applyAlignment="1">
      <alignment horizontal="center" vertical="center"/>
    </xf>
    <xf numFmtId="0" fontId="7" fillId="0" borderId="3" xfId="21" applyFont="1" applyBorder="1" applyAlignment="1">
      <alignment horizontal="center" vertical="center"/>
    </xf>
    <xf numFmtId="0" fontId="7" fillId="0" borderId="3" xfId="11" applyNumberFormat="1" applyFont="1" applyFill="1" applyBorder="1" applyAlignment="1" applyProtection="1">
      <alignment horizontal="left" vertical="center"/>
    </xf>
    <xf numFmtId="0" fontId="10" fillId="0" borderId="3" xfId="18" applyFont="1" applyBorder="1" applyAlignment="1">
      <alignment horizontal="justify" vertical="top" wrapText="1"/>
    </xf>
    <xf numFmtId="0" fontId="10" fillId="0" borderId="3" xfId="18" applyFont="1" applyBorder="1" applyAlignment="1">
      <alignment horizontal="center"/>
    </xf>
    <xf numFmtId="43" fontId="10" fillId="0" borderId="3" xfId="11" applyFont="1" applyFill="1" applyBorder="1" applyAlignment="1" applyProtection="1">
      <alignment horizontal="center"/>
      <protection locked="0"/>
    </xf>
    <xf numFmtId="0" fontId="10" fillId="0" borderId="3" xfId="18" applyFont="1" applyBorder="1" applyAlignment="1">
      <alignment horizontal="center" vertical="center"/>
    </xf>
    <xf numFmtId="0" fontId="8" fillId="0" borderId="6" xfId="23" applyFont="1" applyBorder="1" applyAlignment="1">
      <alignment horizontal="left" vertical="center" wrapText="1"/>
    </xf>
    <xf numFmtId="0" fontId="7" fillId="0" borderId="3" xfId="23" applyFont="1" applyBorder="1" applyAlignment="1">
      <alignment horizontal="left" vertical="top" wrapText="1"/>
    </xf>
    <xf numFmtId="0" fontId="7" fillId="0" borderId="3" xfId="23" applyFont="1" applyBorder="1" applyAlignment="1">
      <alignment horizontal="center" wrapText="1"/>
    </xf>
    <xf numFmtId="0" fontId="7" fillId="0" borderId="3" xfId="23" applyFont="1" applyBorder="1" applyAlignment="1">
      <alignment horizontal="left" vertical="center" wrapText="1"/>
    </xf>
    <xf numFmtId="0" fontId="8" fillId="0" borderId="3" xfId="23" applyFont="1" applyBorder="1" applyAlignment="1">
      <alignment horizontal="left" vertical="center"/>
    </xf>
    <xf numFmtId="0" fontId="7" fillId="0" borderId="3" xfId="23" applyFont="1" applyBorder="1" applyAlignment="1">
      <alignment horizontal="center" vertical="center" wrapText="1"/>
    </xf>
    <xf numFmtId="0" fontId="7" fillId="0" borderId="3" xfId="23" applyFont="1" applyBorder="1" applyAlignment="1">
      <alignment horizontal="left" vertical="center"/>
    </xf>
    <xf numFmtId="0" fontId="8" fillId="0" borderId="3" xfId="23" applyFont="1" applyBorder="1" applyAlignment="1">
      <alignment horizontal="left" vertical="center" wrapText="1"/>
    </xf>
    <xf numFmtId="0" fontId="7" fillId="0" borderId="3" xfId="23" applyFont="1" applyBorder="1" applyAlignment="1">
      <alignment horizontal="justify" vertical="center" wrapText="1"/>
    </xf>
    <xf numFmtId="0" fontId="8" fillId="0" borderId="6" xfId="24" applyFont="1" applyBorder="1" applyAlignment="1">
      <alignment vertical="center"/>
    </xf>
    <xf numFmtId="0" fontId="8" fillId="0" borderId="3" xfId="24" applyFont="1" applyBorder="1" applyAlignment="1">
      <alignment vertical="center"/>
    </xf>
    <xf numFmtId="0" fontId="7" fillId="0" borderId="3" xfId="24" applyFont="1" applyBorder="1" applyAlignment="1">
      <alignment vertical="center"/>
    </xf>
    <xf numFmtId="0" fontId="7" fillId="0" borderId="3" xfId="24" applyFont="1" applyBorder="1" applyAlignment="1">
      <alignment horizontal="center"/>
    </xf>
    <xf numFmtId="4" fontId="7" fillId="0" borderId="3" xfId="24" applyNumberFormat="1" applyFont="1" applyBorder="1" applyAlignment="1" applyProtection="1">
      <alignment horizontal="center"/>
      <protection locked="0"/>
    </xf>
    <xf numFmtId="0" fontId="7" fillId="0" borderId="3" xfId="24" applyFont="1" applyBorder="1" applyAlignment="1">
      <alignment horizontal="justify" vertical="top" wrapText="1"/>
    </xf>
    <xf numFmtId="3" fontId="7" fillId="0" borderId="3" xfId="24" applyNumberFormat="1" applyFont="1" applyBorder="1" applyAlignment="1">
      <alignment horizontal="center"/>
    </xf>
    <xf numFmtId="3" fontId="7" fillId="0" borderId="3" xfId="24" applyNumberFormat="1" applyFont="1" applyBorder="1" applyAlignment="1">
      <alignment horizontal="center" vertical="center"/>
    </xf>
    <xf numFmtId="0" fontId="7" fillId="0" borderId="3" xfId="24" applyFont="1" applyBorder="1" applyAlignment="1">
      <alignment horizontal="center" vertical="center"/>
    </xf>
    <xf numFmtId="4" fontId="7" fillId="0" borderId="3" xfId="24" applyNumberFormat="1" applyFont="1" applyBorder="1" applyAlignment="1" applyProtection="1">
      <alignment horizontal="center" vertical="center"/>
      <protection locked="0"/>
    </xf>
    <xf numFmtId="0" fontId="7" fillId="0" borderId="3" xfId="24" applyFont="1" applyBorder="1" applyAlignment="1">
      <alignment vertical="center" wrapText="1"/>
    </xf>
    <xf numFmtId="3" fontId="7" fillId="0" borderId="3" xfId="24" applyNumberFormat="1" applyFont="1" applyBorder="1" applyAlignment="1">
      <alignment horizontal="center" vertical="top"/>
    </xf>
    <xf numFmtId="0" fontId="7" fillId="0" borderId="3" xfId="24" applyFont="1" applyBorder="1" applyAlignment="1">
      <alignment horizontal="center" vertical="top"/>
    </xf>
    <xf numFmtId="4" fontId="7" fillId="0" borderId="3" xfId="24" applyNumberFormat="1" applyFont="1" applyBorder="1" applyAlignment="1" applyProtection="1">
      <alignment horizontal="center" vertical="top"/>
      <protection locked="0"/>
    </xf>
    <xf numFmtId="0" fontId="7" fillId="0" borderId="3" xfId="0" applyFont="1" applyBorder="1" applyAlignment="1">
      <alignment vertical="center"/>
    </xf>
    <xf numFmtId="3" fontId="7" fillId="0" borderId="3" xfId="0" applyNumberFormat="1" applyFont="1" applyBorder="1" applyAlignment="1">
      <alignment horizontal="center" vertical="center"/>
    </xf>
    <xf numFmtId="0" fontId="7" fillId="0" borderId="3" xfId="0" applyFont="1" applyBorder="1" applyAlignment="1">
      <alignment horizontal="justify" vertical="center" wrapText="1"/>
    </xf>
    <xf numFmtId="0" fontId="7" fillId="0" borderId="3" xfId="0" applyFont="1" applyBorder="1" applyAlignment="1">
      <alignment horizontal="justify" vertical="top" wrapText="1"/>
    </xf>
    <xf numFmtId="0" fontId="7" fillId="0" borderId="3" xfId="24" applyFont="1" applyBorder="1" applyAlignment="1">
      <alignment horizontal="justify" vertical="center" wrapText="1"/>
    </xf>
    <xf numFmtId="0" fontId="7" fillId="0" borderId="3" xfId="0" applyFont="1" applyBorder="1" applyAlignment="1">
      <alignment vertical="top" wrapText="1"/>
    </xf>
    <xf numFmtId="0" fontId="13" fillId="0" borderId="9" xfId="24" applyFont="1" applyBorder="1" applyAlignment="1">
      <alignment vertical="center"/>
    </xf>
    <xf numFmtId="0" fontId="13" fillId="0" borderId="10" xfId="24" applyFont="1" applyBorder="1" applyAlignment="1">
      <alignment vertical="center"/>
    </xf>
    <xf numFmtId="0" fontId="11" fillId="0" borderId="11" xfId="24" applyFont="1" applyBorder="1" applyAlignment="1">
      <alignment horizontal="center" vertical="top"/>
    </xf>
    <xf numFmtId="0" fontId="13" fillId="0" borderId="12" xfId="24" applyFont="1" applyBorder="1" applyAlignment="1">
      <alignment vertical="center"/>
    </xf>
    <xf numFmtId="0" fontId="13" fillId="0" borderId="2" xfId="24" applyFont="1" applyBorder="1" applyAlignment="1">
      <alignment vertical="center"/>
    </xf>
    <xf numFmtId="0" fontId="11" fillId="0" borderId="3" xfId="24" applyFont="1" applyBorder="1" applyAlignment="1">
      <alignment horizontal="center" vertical="top"/>
    </xf>
    <xf numFmtId="0" fontId="11" fillId="0" borderId="3" xfId="24" applyFont="1" applyBorder="1" applyAlignment="1">
      <alignment horizontal="justify" vertical="top" wrapText="1"/>
    </xf>
    <xf numFmtId="3" fontId="11" fillId="0" borderId="3" xfId="24" applyNumberFormat="1" applyFont="1" applyBorder="1" applyAlignment="1">
      <alignment horizontal="center" vertical="center"/>
    </xf>
    <xf numFmtId="0" fontId="11" fillId="0" borderId="3" xfId="24" applyFont="1" applyBorder="1" applyAlignment="1">
      <alignment horizontal="center" vertical="center"/>
    </xf>
    <xf numFmtId="0" fontId="11" fillId="0" borderId="3" xfId="24" applyFont="1" applyBorder="1" applyAlignment="1">
      <alignment vertical="center"/>
    </xf>
    <xf numFmtId="0" fontId="3" fillId="0" borderId="1" xfId="0" applyFont="1" applyBorder="1" applyAlignment="1">
      <alignment horizontal="center"/>
    </xf>
    <xf numFmtId="0" fontId="0" fillId="2" borderId="0" xfId="0" applyFont="1" applyFill="1" applyAlignment="1">
      <alignment horizontal="center"/>
    </xf>
    <xf numFmtId="44" fontId="0" fillId="2" borderId="0" xfId="0" applyNumberFormat="1" applyFont="1" applyFill="1" applyAlignment="1">
      <alignment horizontal="center"/>
    </xf>
    <xf numFmtId="0" fontId="0" fillId="2" borderId="0" xfId="0" applyNumberFormat="1" applyFont="1" applyFill="1" applyAlignment="1">
      <alignment horizontal="center"/>
    </xf>
    <xf numFmtId="0" fontId="0" fillId="0" borderId="0" xfId="0" applyFont="1" applyAlignment="1">
      <alignment horizontal="center"/>
    </xf>
    <xf numFmtId="0" fontId="7" fillId="0" borderId="2" xfId="5" applyNumberFormat="1" applyFont="1" applyBorder="1" applyAlignment="1">
      <alignment horizontal="center"/>
    </xf>
    <xf numFmtId="44" fontId="0" fillId="0" borderId="0" xfId="0" applyNumberFormat="1" applyFont="1" applyAlignment="1">
      <alignment horizontal="center"/>
    </xf>
    <xf numFmtId="0" fontId="0" fillId="0" borderId="0" xfId="0" applyNumberFormat="1" applyFont="1" applyAlignment="1">
      <alignment horizontal="center"/>
    </xf>
    <xf numFmtId="0" fontId="3" fillId="0" borderId="1" xfId="0" applyFont="1" applyBorder="1" applyAlignment="1">
      <alignment horizontal="left"/>
    </xf>
    <xf numFmtId="0" fontId="0" fillId="2" borderId="0" xfId="0" applyFont="1" applyFill="1" applyAlignment="1">
      <alignment horizontal="left"/>
    </xf>
    <xf numFmtId="0" fontId="0" fillId="0" borderId="0" xfId="0" applyFont="1" applyAlignment="1">
      <alignment horizontal="left"/>
    </xf>
    <xf numFmtId="0" fontId="8" fillId="0" borderId="2" xfId="5" applyFont="1" applyBorder="1" applyAlignment="1">
      <alignment horizontal="left"/>
    </xf>
    <xf numFmtId="0" fontId="8" fillId="0" borderId="3" xfId="9" applyFont="1" applyBorder="1" applyAlignment="1">
      <alignment horizontal="left"/>
    </xf>
    <xf numFmtId="0" fontId="0" fillId="2" borderId="0" xfId="0" applyFill="1" applyAlignment="1">
      <alignment horizontal="center"/>
    </xf>
    <xf numFmtId="44" fontId="0" fillId="2" borderId="0" xfId="0" applyNumberFormat="1" applyFill="1" applyAlignment="1">
      <alignment horizontal="center"/>
    </xf>
    <xf numFmtId="0" fontId="0" fillId="2" borderId="0" xfId="0" applyFill="1" applyAlignment="1">
      <alignment horizontal="left"/>
    </xf>
    <xf numFmtId="0" fontId="7" fillId="2" borderId="3" xfId="5" applyFont="1" applyFill="1" applyBorder="1" applyAlignment="1">
      <alignment horizontal="center"/>
    </xf>
    <xf numFmtId="0" fontId="7" fillId="2" borderId="2" xfId="5" applyFont="1" applyFill="1" applyBorder="1" applyAlignment="1">
      <alignment horizontal="center"/>
    </xf>
    <xf numFmtId="0" fontId="7" fillId="0" borderId="3" xfId="11" applyNumberFormat="1" applyFont="1" applyBorder="1" applyAlignment="1">
      <alignment horizontal="center" vertical="center"/>
    </xf>
    <xf numFmtId="0" fontId="7" fillId="0" borderId="2" xfId="5" applyNumberFormat="1" applyFont="1" applyBorder="1" applyAlignment="1">
      <alignment horizontal="left" wrapText="1"/>
    </xf>
    <xf numFmtId="0" fontId="7" fillId="2" borderId="3" xfId="5" applyNumberFormat="1" applyFont="1" applyFill="1" applyBorder="1" applyAlignment="1">
      <alignment horizontal="left"/>
    </xf>
    <xf numFmtId="172" fontId="0" fillId="0" borderId="0" xfId="0" applyNumberFormat="1"/>
    <xf numFmtId="8" fontId="0" fillId="0" borderId="0" xfId="0" applyNumberFormat="1" applyFont="1" applyAlignment="1">
      <alignment horizontal="center"/>
    </xf>
    <xf numFmtId="44" fontId="14" fillId="0" borderId="0" xfId="1" applyFont="1"/>
    <xf numFmtId="8" fontId="15" fillId="0" borderId="0" xfId="0" applyNumberFormat="1" applyFont="1"/>
    <xf numFmtId="44" fontId="15" fillId="0" borderId="0" xfId="1" applyFont="1"/>
    <xf numFmtId="44" fontId="0" fillId="0" borderId="0" xfId="1" applyFont="1"/>
    <xf numFmtId="0" fontId="7" fillId="0" borderId="0" xfId="11" applyNumberFormat="1" applyFont="1" applyFill="1" applyBorder="1" applyAlignment="1" applyProtection="1">
      <alignment horizontal="center" vertical="center"/>
    </xf>
    <xf numFmtId="0" fontId="7" fillId="0" borderId="0" xfId="7" applyFont="1" applyBorder="1" applyAlignment="1">
      <alignment horizontal="center"/>
    </xf>
    <xf numFmtId="175" fontId="16" fillId="0" borderId="13" xfId="8" applyNumberFormat="1" applyFont="1" applyBorder="1" applyAlignment="1">
      <alignment horizontal="center"/>
    </xf>
    <xf numFmtId="173" fontId="0" fillId="0" borderId="0" xfId="0" applyNumberFormat="1"/>
    <xf numFmtId="2" fontId="0" fillId="0" borderId="0" xfId="0" applyNumberFormat="1"/>
    <xf numFmtId="174" fontId="0" fillId="0" borderId="0" xfId="0" applyNumberFormat="1"/>
    <xf numFmtId="1" fontId="0" fillId="0" borderId="0" xfId="0" applyNumberFormat="1"/>
    <xf numFmtId="0" fontId="17" fillId="0" borderId="2" xfId="5" applyFont="1" applyBorder="1" applyAlignment="1">
      <alignment horizontal="center"/>
    </xf>
    <xf numFmtId="3" fontId="17" fillId="0" borderId="3" xfId="5" applyNumberFormat="1" applyFont="1" applyBorder="1" applyAlignment="1">
      <alignment horizontal="center"/>
    </xf>
    <xf numFmtId="0" fontId="17" fillId="0" borderId="3" xfId="22" applyFont="1" applyBorder="1" applyAlignment="1">
      <alignment horizontal="center" vertical="center"/>
    </xf>
    <xf numFmtId="0" fontId="17" fillId="0" borderId="3" xfId="5" applyFont="1" applyBorder="1" applyAlignment="1">
      <alignment horizontal="center"/>
    </xf>
    <xf numFmtId="1" fontId="0" fillId="0" borderId="0" xfId="0" applyNumberFormat="1" applyFont="1" applyAlignment="1">
      <alignment horizontal="center"/>
    </xf>
    <xf numFmtId="0" fontId="17" fillId="2" borderId="3" xfId="5" applyFont="1" applyFill="1" applyBorder="1" applyAlignment="1">
      <alignment horizontal="center"/>
    </xf>
    <xf numFmtId="0" fontId="17" fillId="2" borderId="2" xfId="5" applyFont="1" applyFill="1" applyBorder="1" applyAlignment="1">
      <alignment horizontal="center"/>
    </xf>
    <xf numFmtId="0" fontId="17" fillId="0" borderId="3" xfId="11" applyNumberFormat="1" applyFont="1" applyBorder="1" applyAlignment="1">
      <alignment horizontal="center" vertical="center"/>
    </xf>
    <xf numFmtId="3" fontId="17" fillId="0" borderId="3" xfId="6" applyNumberFormat="1" applyFont="1" applyBorder="1" applyAlignment="1">
      <alignment horizontal="center"/>
    </xf>
    <xf numFmtId="0" fontId="17" fillId="0" borderId="3" xfId="7" applyFont="1" applyBorder="1" applyAlignment="1">
      <alignment horizontal="center"/>
    </xf>
    <xf numFmtId="0" fontId="18" fillId="0" borderId="2" xfId="5" applyFont="1" applyBorder="1" applyAlignment="1">
      <alignment horizontal="left"/>
    </xf>
    <xf numFmtId="0" fontId="17" fillId="0" borderId="0" xfId="7" applyFont="1" applyAlignment="1">
      <alignment horizontal="center"/>
    </xf>
    <xf numFmtId="0" fontId="18" fillId="0" borderId="3" xfId="9" applyFont="1" applyBorder="1" applyAlignment="1">
      <alignment horizontal="left"/>
    </xf>
    <xf numFmtId="0" fontId="17" fillId="0" borderId="3" xfId="10" applyFont="1" applyBorder="1" applyAlignment="1">
      <alignment vertical="center"/>
    </xf>
    <xf numFmtId="0" fontId="17" fillId="0" borderId="3" xfId="10" applyFont="1" applyBorder="1" applyAlignment="1">
      <alignment horizontal="center" vertical="center"/>
    </xf>
    <xf numFmtId="0" fontId="17" fillId="0" borderId="3" xfId="7" applyFont="1" applyBorder="1" applyAlignment="1">
      <alignment vertical="center"/>
    </xf>
    <xf numFmtId="0" fontId="17" fillId="0" borderId="3" xfId="19" applyFont="1" applyBorder="1" applyAlignment="1">
      <alignment horizontal="center" vertical="center"/>
    </xf>
    <xf numFmtId="0" fontId="18" fillId="0" borderId="2" xfId="5" applyFont="1" applyBorder="1" applyAlignment="1">
      <alignment horizontal="left" vertical="center"/>
    </xf>
    <xf numFmtId="3" fontId="17" fillId="2" borderId="3" xfId="5" applyNumberFormat="1" applyFont="1" applyFill="1" applyBorder="1" applyAlignment="1">
      <alignment horizontal="center"/>
    </xf>
    <xf numFmtId="0" fontId="17" fillId="2" borderId="3" xfId="11" applyNumberFormat="1" applyFont="1" applyFill="1" applyBorder="1" applyAlignment="1">
      <alignment horizontal="center" vertical="center"/>
    </xf>
    <xf numFmtId="3" fontId="17" fillId="2" borderId="3" xfId="6" applyNumberFormat="1" applyFont="1" applyFill="1" applyBorder="1" applyAlignment="1">
      <alignment horizontal="center"/>
    </xf>
    <xf numFmtId="44" fontId="19" fillId="0" borderId="0" xfId="1" applyFont="1"/>
    <xf numFmtId="1" fontId="0" fillId="2" borderId="0" xfId="0" applyNumberFormat="1" applyFont="1" applyFill="1" applyAlignment="1">
      <alignment horizontal="center"/>
    </xf>
    <xf numFmtId="0" fontId="0" fillId="0" borderId="5" xfId="0" applyBorder="1" applyAlignment="1">
      <alignment horizontal="center"/>
    </xf>
    <xf numFmtId="0" fontId="0" fillId="0" borderId="5" xfId="0" applyBorder="1" applyAlignment="1">
      <alignment horizontal="center" wrapText="1"/>
    </xf>
    <xf numFmtId="44" fontId="0" fillId="0" borderId="0" xfId="0" applyNumberFormat="1"/>
    <xf numFmtId="0" fontId="7" fillId="0" borderId="0" xfId="11" applyNumberFormat="1" applyFont="1" applyFill="1" applyAlignment="1" applyProtection="1">
      <alignment horizontal="center" vertical="center"/>
    </xf>
    <xf numFmtId="0" fontId="7" fillId="0" borderId="3" xfId="0" applyNumberFormat="1" applyFont="1" applyFill="1" applyBorder="1" applyAlignment="1" applyProtection="1">
      <alignment horizontal="center" vertical="center"/>
    </xf>
    <xf numFmtId="0" fontId="7" fillId="0" borderId="0" xfId="0" applyNumberFormat="1" applyFont="1" applyFill="1" applyAlignment="1" applyProtection="1">
      <alignment horizontal="center" vertical="center"/>
    </xf>
    <xf numFmtId="176" fontId="0" fillId="0" borderId="0" xfId="0" applyNumberFormat="1"/>
    <xf numFmtId="177" fontId="0" fillId="0" borderId="0" xfId="0" applyNumberFormat="1"/>
    <xf numFmtId="177" fontId="0" fillId="0" borderId="0" xfId="0" applyNumberFormat="1" applyAlignment="1">
      <alignment horizontal="center"/>
    </xf>
    <xf numFmtId="178" fontId="0" fillId="0" borderId="0" xfId="0" applyNumberFormat="1"/>
    <xf numFmtId="178" fontId="0" fillId="0" borderId="0" xfId="0" applyNumberFormat="1" applyAlignment="1">
      <alignment horizontal="center"/>
    </xf>
    <xf numFmtId="179" fontId="0" fillId="0" borderId="0" xfId="0" applyNumberFormat="1"/>
    <xf numFmtId="180" fontId="0" fillId="0" borderId="0" xfId="0" applyNumberFormat="1"/>
    <xf numFmtId="0" fontId="20" fillId="0" borderId="0" xfId="0" applyFont="1" applyAlignment="1">
      <alignment horizontal="left"/>
    </xf>
    <xf numFmtId="0" fontId="20" fillId="2" borderId="0" xfId="0" applyFont="1" applyFill="1" applyAlignment="1">
      <alignment horizontal="left"/>
    </xf>
    <xf numFmtId="1" fontId="0" fillId="0" borderId="0" xfId="1" applyNumberFormat="1" applyFont="1" applyAlignment="1">
      <alignment horizontal="center"/>
    </xf>
    <xf numFmtId="0" fontId="8" fillId="0" borderId="7" xfId="15" applyNumberFormat="1" applyFont="1" applyFill="1" applyBorder="1" applyAlignment="1" applyProtection="1">
      <alignment horizontal="left" vertical="center" indent="5"/>
    </xf>
    <xf numFmtId="0" fontId="8" fillId="0" borderId="8" xfId="15" applyNumberFormat="1" applyFont="1" applyFill="1" applyBorder="1" applyAlignment="1" applyProtection="1">
      <alignment horizontal="left" vertical="center" indent="5"/>
    </xf>
    <xf numFmtId="0" fontId="8" fillId="0" borderId="5" xfId="15" applyNumberFormat="1" applyFont="1" applyFill="1" applyBorder="1" applyAlignment="1" applyProtection="1">
      <alignment horizontal="left" vertical="center" indent="5"/>
    </xf>
  </cellXfs>
  <cellStyles count="26">
    <cellStyle name="Comma 10 2" xfId="13" xr:uid="{5C3787BB-8B24-4A8E-A55B-ACE00F8469C7}"/>
    <cellStyle name="Comma 18" xfId="11" xr:uid="{6FF35A43-B273-4E1E-BBFD-E0C8DECC22D6}"/>
    <cellStyle name="Comma 2" xfId="6" xr:uid="{312ED036-2CCF-4897-A8B4-63DC4C4A3FF2}"/>
    <cellStyle name="Comma 21" xfId="4" xr:uid="{D3841F50-3151-4D95-BA39-809F4D83D202}"/>
    <cellStyle name="Comma 9 2" xfId="15" xr:uid="{512F29E3-A6AA-4192-B960-9DAD326094E9}"/>
    <cellStyle name="Currency" xfId="1" builtinId="4"/>
    <cellStyle name="Hyperlink" xfId="2" builtinId="8"/>
    <cellStyle name="Normal" xfId="0" builtinId="0"/>
    <cellStyle name="Normal 2 2 3" xfId="23" xr:uid="{9C495D8E-1998-4FC1-9C17-3CB4328EE447}"/>
    <cellStyle name="Normal 2 5" xfId="12" xr:uid="{7089FCE6-B3BB-4BC9-AF40-40A37076FF83}"/>
    <cellStyle name="Normal 3 2 2" xfId="8" xr:uid="{E653F7B4-2A7E-4F77-B7B2-F34B703D8DAF}"/>
    <cellStyle name="Normal 5" xfId="24" xr:uid="{D4F5F01A-EFC3-485B-8A7F-4A908B297A77}"/>
    <cellStyle name="Normal 514" xfId="3" xr:uid="{4086132D-9BAE-4369-9F48-1AB85581DEA2}"/>
    <cellStyle name="Normal_1.0 MAIN Villa 2" xfId="20" xr:uid="{C827D725-D6CB-4A38-B65C-A7E2D14B3456}"/>
    <cellStyle name="Normal_Bill-2-Main Building..... 2" xfId="22" xr:uid="{7E7AF7F9-D90A-47BA-8725-3CBD9DBC1AFA}"/>
    <cellStyle name="Normal_Bill-2-Main Building....._working 2" xfId="18" xr:uid="{CD106301-835B-4249-B5B6-87D6A27BF6D1}"/>
    <cellStyle name="Normal_Bill2-Main School  Bldg." xfId="21" xr:uid="{EF9B521F-2384-4F81-8F3B-3EA5EE63BE94}"/>
    <cellStyle name="Normal_Bill2-Main School  Bldg._working 2" xfId="10" xr:uid="{2B074324-0EC2-44B1-86E1-2968E2796812}"/>
    <cellStyle name="Normal_Bill2-Main School  Bldg._working 3" xfId="17" xr:uid="{5ACE4E6A-B0E2-4816-B474-D88ED27285BE}"/>
    <cellStyle name="Normal_Bill2-Main School  Bldg._working-AC 2" xfId="19" xr:uid="{A95B8468-FEB4-430A-AB2B-A34AAC0C479C}"/>
    <cellStyle name="Normal_Bill-2-Tower" xfId="7" xr:uid="{86A83E26-B2AD-42C8-A513-2A58771BB578}"/>
    <cellStyle name="Normal_Bill-2-Tower_working 2" xfId="14" xr:uid="{641D71DC-F1FC-473A-9234-19AD7AB0D118}"/>
    <cellStyle name="Normal_Bill-2-Tower_working 3" xfId="16" xr:uid="{E25DEBF4-2422-452C-AEC2-AC721E2C59F8}"/>
    <cellStyle name="Normal_Commercial development  2 2" xfId="9" xr:uid="{41E37B7D-F6E5-433A-9ED8-562BE2307038}"/>
    <cellStyle name="Normal_School 6 azk" xfId="5" xr:uid="{B0E84C10-9416-46E9-80C1-1366B8F8C2B5}"/>
    <cellStyle name="Percent 2" xfId="25" xr:uid="{095592C6-BD0A-411F-AFDF-687A0168C5CC}"/>
  </cellStyles>
  <dxfs count="110">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top style="thin">
          <color rgb="FF000000"/>
        </top>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46D707-F5F8-42DF-B179-556C37FA6DD2}" name="Table1" displayName="Table1" ref="A1:U74" totalsRowShown="0" headerRowDxfId="109" dataDxfId="108">
  <autoFilter ref="A1:U74" xr:uid="{9A406FA1-6ED2-4AB3-8A2A-62DBAA519043}"/>
  <tableColumns count="21">
    <tableColumn id="1" xr3:uid="{5C8EAA89-A89F-4F40-8481-948E11D5B361}" name="item number" dataDxfId="107"/>
    <tableColumn id="2" xr3:uid="{24C56480-B587-4090-B119-FD3BA3EEBECE}" name="WP" dataDxfId="106"/>
    <tableColumn id="3" xr3:uid="{D60E75AB-1517-46A4-B9CD-4A60DBB957CB}" name="WP ID" dataDxfId="105"/>
    <tableColumn id="4" xr3:uid="{4180386D-A733-44AB-8CD6-DF57E5C8475A}" name="WP Deliverable" dataDxfId="104"/>
    <tableColumn id="5" xr3:uid="{2B5E8C2C-3848-4B18-BB5B-4A9BA7F79E2D}" name="Activities List" dataDxfId="103"/>
    <tableColumn id="6" xr3:uid="{8C0414F0-9E04-44DD-B493-5C2E6F4D2905}" name="Cost per unit " dataDxfId="102"/>
    <tableColumn id="7" xr3:uid="{2A9C2B13-08F0-463D-A6F8-76EBD32F1121}" name="unit per duration " dataDxfId="101"/>
    <tableColumn id="8" xr3:uid="{CA975047-C905-43EC-BAF1-368828268DC0}" name="Quantity" dataDxfId="100"/>
    <tableColumn id="9" xr3:uid="{B49FF68E-F9B6-4C17-AB97-FCEC29246672}" name="Total Cost " dataDxfId="99">
      <calculatedColumnFormula>(Table1[[#This Row],[Quantity]]/Table1[[#This Row],[unit per duration ]])</calculatedColumnFormula>
    </tableColumn>
    <tableColumn id="10" xr3:uid="{C6137ACF-965F-4481-BB82-96B4EDEC3C86}" name="duration in days" dataDxfId="98">
      <calculatedColumnFormula>((Table1[[#This Row],[Quantity]]/Table1[[#This Row],[unit per duration ]])/24)/10</calculatedColumnFormula>
    </tableColumn>
    <tableColumn id="11" xr3:uid="{426DA2D3-AA6E-4FAA-8DEB-3A3B3E1C88AF}" name="Acceptance Criteria" dataDxfId="97"/>
    <tableColumn id="12" xr3:uid="{1FBC4B3E-4F0D-4BD3-B830-34DCC053013E}" name="Risks" dataDxfId="96"/>
    <tableColumn id="13" xr3:uid="{3A90EB67-82B9-4CEF-B3A4-5C86A5214A38}" name="Resources Assigned" dataDxfId="95"/>
    <tableColumn id="14" xr3:uid="{D259637C-C2C0-4977-9468-64363B533DB5}" name="Human Resource" dataDxfId="94"/>
    <tableColumn id="15" xr3:uid="{CDC1DBF1-0BBB-4617-B4AC-0CB5C8C4F373}" name="Equipment" dataDxfId="93"/>
    <tableColumn id="16" xr3:uid="{C18004FD-D72B-46FC-97EE-3F4A03BE383B}" name="Material" dataDxfId="92"/>
    <tableColumn id="17" xr3:uid="{5F45240D-9968-4101-8F94-B9B9AB4492CC}" name="Objectives" dataDxfId="91"/>
    <tableColumn id="18" xr3:uid="{39D443E5-A338-4D51-8E22-FA7FBCD8B0F5}" name="Stakeholder" dataDxfId="90"/>
    <tableColumn id="19" xr3:uid="{013FA58C-EC48-451D-A997-5BBDA9B32BBD}" name="Stakeholder Requirement" dataDxfId="89"/>
    <tableColumn id="20" xr3:uid="{2A3AA130-B3D1-4C09-A7C8-351E2FBE0AB0}" name="References" dataDxfId="88"/>
    <tableColumn id="21" xr3:uid="{31079BDA-A1D6-4765-8E8B-B532FDD6A013}" name="dis" dataDxfId="8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39E2577-A36A-4655-B575-4F423419F36C}" name="Table467" displayName="Table467" ref="A1:U11" totalsRowShown="0" headerRowDxfId="86" dataDxfId="84" headerRowBorderDxfId="85" tableBorderDxfId="83">
  <autoFilter ref="A1:U11" xr:uid="{B98AB582-085A-46A8-9291-181B492BB430}"/>
  <tableColumns count="21">
    <tableColumn id="1" xr3:uid="{901C4A0F-78A7-4A41-987C-3CF44CDC01C1}" name="item number" dataDxfId="82"/>
    <tableColumn id="2" xr3:uid="{53344B7E-5BAF-4C07-A760-6F5807821035}" name="WP" dataDxfId="81"/>
    <tableColumn id="3" xr3:uid="{10F486B8-CE4E-4E77-A051-DE1D55AEFFC1}" name="WP ID" dataDxfId="80"/>
    <tableColumn id="4" xr3:uid="{CEC235C8-48C7-4F8E-B1EF-6CCCEF5180E0}" name="WP Deliverable" dataDxfId="79"/>
    <tableColumn id="5" xr3:uid="{F81E56DB-CF8A-4FC6-AD33-E0BE71A11362}" name="Activities List"/>
    <tableColumn id="6" xr3:uid="{767DB9E4-AE38-4CB9-BE3B-48D70922C59C}" name="Cost per unit "/>
    <tableColumn id="7" xr3:uid="{45B41AE3-F314-4195-8A62-71B9A42369D2}" name="unit per duration "/>
    <tableColumn id="8" xr3:uid="{B2FA9BD5-4365-4D3C-9390-01A3248808D3}" name="Quantity" dataDxfId="78" dataCellStyle="Comma 18"/>
    <tableColumn id="9" xr3:uid="{857F2FEA-4BDF-42E8-886E-784353BB23B4}" name="Total Cost " dataDxfId="77"/>
    <tableColumn id="10" xr3:uid="{87CA8C61-A0F7-4B74-8E9B-977F84245B0D}" name="duration in days" dataDxfId="76"/>
    <tableColumn id="11" xr3:uid="{99442A26-3184-4237-A8C3-545AAD5636BE}" name="Acceptance Criteria" dataDxfId="75"/>
    <tableColumn id="12" xr3:uid="{472E4C40-2CE8-4AB6-967B-198587F54A05}" name="Risks" dataDxfId="74"/>
    <tableColumn id="13" xr3:uid="{37730988-C379-4B7B-BF48-FC79D3B6649A}" name="Resources Assigned" dataDxfId="73"/>
    <tableColumn id="14" xr3:uid="{CFF388AD-44DD-4132-8DB5-786B52BFD5CB}" name="Human Resource" dataDxfId="72"/>
    <tableColumn id="15" xr3:uid="{086A892F-EBB5-4394-9C85-D83E1CAA1F26}" name="Equipment" dataDxfId="71"/>
    <tableColumn id="16" xr3:uid="{13CC680C-EBB7-4DAB-BBC0-B00F755557B4}" name="Material" dataDxfId="70"/>
    <tableColumn id="17" xr3:uid="{B48E7519-4A48-429B-9F66-FB3C1147679E}" name="Objectives" dataDxfId="69"/>
    <tableColumn id="18" xr3:uid="{AC6F2477-D927-426E-9861-F5897693B207}" name="Stakeholder" dataDxfId="68"/>
    <tableColumn id="19" xr3:uid="{F2FC8847-D388-4BD1-AE44-B5094F0FB737}" name="Stakeholder Requirement" dataDxfId="67"/>
    <tableColumn id="20" xr3:uid="{5E1FD3E6-D3D5-4D9A-B111-05675C4F732C}" name="References" dataDxfId="66"/>
    <tableColumn id="21" xr3:uid="{0CF42984-1E61-457E-BC24-ABBAB632CA21}" name="dis" dataDxfId="6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A95AF0-55AC-4EB1-A2E0-EDADFB2AC0DE}" name="Table4673" displayName="Table4673" ref="A1:V37" totalsRowShown="0" headerRowDxfId="64" dataDxfId="62" headerRowBorderDxfId="63" tableBorderDxfId="61">
  <autoFilter ref="A1:V37" xr:uid="{B98AB582-085A-46A8-9291-181B492BB430}"/>
  <tableColumns count="22">
    <tableColumn id="1" xr3:uid="{7B7B897F-74CA-42D3-B890-8BE3DD76F031}" name="item number" dataDxfId="60"/>
    <tableColumn id="2" xr3:uid="{F045C0D6-5265-42BB-A74A-2F184755F178}" name="WP" dataDxfId="59"/>
    <tableColumn id="3" xr3:uid="{E849A84E-288C-444F-813F-BDDE7313E97F}" name="WP ID" dataDxfId="58"/>
    <tableColumn id="4" xr3:uid="{3BF15038-25CC-4244-99A4-E32AB047443D}" name="WP Deliverable" dataDxfId="57"/>
    <tableColumn id="5" xr3:uid="{ACF604DE-3623-4C01-B5EC-A416280143AD}" name="Activities List"/>
    <tableColumn id="6" xr3:uid="{62EC8F51-A474-4F61-8B2C-4B1CAEF33E8B}" name="Cost per unit "/>
    <tableColumn id="7" xr3:uid="{D274FE1C-DE92-4034-BFD8-1EF2D4DD92EB}" name="unit per duration "/>
    <tableColumn id="8" xr3:uid="{E2DB9DF0-132F-4CFA-9848-5F8027DBB960}" name="Quantity" dataDxfId="56" dataCellStyle="Comma 18"/>
    <tableColumn id="22" xr3:uid="{C174320F-6F49-418F-B09A-BF0E15F79A24}" name="unit" dataDxfId="55" dataCellStyle="Comma 18"/>
    <tableColumn id="9" xr3:uid="{16ED651F-4D91-4F06-B24B-0635B63A16A9}" name="Total Cost " dataDxfId="54"/>
    <tableColumn id="10" xr3:uid="{A2A74747-9934-4299-9086-65BC564306C4}" name="duration in days" dataDxfId="53"/>
    <tableColumn id="11" xr3:uid="{D536EF6A-AFEE-43F5-B78D-46F672D87F27}" name="Acceptance Criteria" dataDxfId="52"/>
    <tableColumn id="12" xr3:uid="{2DA21271-2789-448A-A86A-7B12A4EF7F12}" name="Risks" dataDxfId="51"/>
    <tableColumn id="13" xr3:uid="{21D2F186-09ED-4781-A220-DE2499EF2C76}" name="Resources Assigned" dataDxfId="50"/>
    <tableColumn id="14" xr3:uid="{9824C32B-3EE8-4A9C-BC01-F8949FA12A92}" name="Human Resource" dataDxfId="49"/>
    <tableColumn id="15" xr3:uid="{E1DA8374-02EB-49E2-9722-643B3A37235B}" name="Equipment" dataDxfId="48"/>
    <tableColumn id="16" xr3:uid="{F5FD6707-C164-469E-B654-805100D1FDE0}" name="Material" dataDxfId="47"/>
    <tableColumn id="17" xr3:uid="{5D303B9B-22BD-4E51-A03F-09E2B4106E04}" name="Objectives" dataDxfId="46"/>
    <tableColumn id="18" xr3:uid="{6A2B41E3-D5B7-4811-A6C6-C2957AA21B10}" name="Stakeholder" dataDxfId="45"/>
    <tableColumn id="19" xr3:uid="{6B1625F4-7828-48C7-A80F-74AB9EF8415E}" name="Stakeholder Requirement" dataDxfId="44"/>
    <tableColumn id="20" xr3:uid="{BEC77AE4-C94C-4F56-85B1-F28E36F67715}" name="References" dataDxfId="43"/>
    <tableColumn id="21" xr3:uid="{DFF3A139-0AA1-40F0-A535-64C0A6F82275}" name="dis" dataDxfId="4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4EA264-FB18-4B2B-8736-A321D43EB917}" name="Table46734" displayName="Table46734" ref="A1:V31" totalsRowCount="1" headerRowDxfId="41" dataDxfId="39" headerRowBorderDxfId="40" tableBorderDxfId="38">
  <autoFilter ref="A1:V30" xr:uid="{B98AB582-085A-46A8-9291-181B492BB430}"/>
  <tableColumns count="22">
    <tableColumn id="1" xr3:uid="{7274F6C4-CF97-4ED0-9775-9FA723BB9553}" name="item number" dataDxfId="37" totalsRowDxfId="18"/>
    <tableColumn id="2" xr3:uid="{2A142E17-6C8A-41FD-ACE9-4D4F4E3A1A9B}" name="WP" dataDxfId="36" totalsRowDxfId="17"/>
    <tableColumn id="3" xr3:uid="{32BD19BC-FA0C-40B6-9EDB-D3F86DF6094F}" name="WP ID" dataDxfId="35" totalsRowDxfId="16"/>
    <tableColumn id="4" xr3:uid="{E6063C4E-9693-46D4-BE69-396D6B38E3D3}" name="WP Deliverable" dataDxfId="34" totalsRowDxfId="15"/>
    <tableColumn id="5" xr3:uid="{8996288C-A450-4DB6-B0A3-C814AF240007}" name="Activities List"/>
    <tableColumn id="6" xr3:uid="{4149D68C-9754-4F91-9E0A-416DB7444670}" name="Cost per unit "/>
    <tableColumn id="7" xr3:uid="{E13B14E6-424E-4179-A57E-C9184FC32D36}" name="unit per duration "/>
    <tableColumn id="8" xr3:uid="{B5E978BA-FAB9-45F0-891B-B08B4A18F5EC}" name="Quantity" dataDxfId="33" totalsRowDxfId="14" dataCellStyle="Comma 18"/>
    <tableColumn id="22" xr3:uid="{9156389C-5908-4CDD-A158-9A6BDDF7C4DF}" name="unit" dataDxfId="32" totalsRowDxfId="13" dataCellStyle="Comma 18"/>
    <tableColumn id="9" xr3:uid="{19528317-CC1A-4B59-AF11-9EF1CFD5E900}" name="Total Cost " totalsRowFunction="custom" dataDxfId="31" totalsRowDxfId="12">
      <totalsRowFormula>SUM(J27:J30)</totalsRowFormula>
    </tableColumn>
    <tableColumn id="10" xr3:uid="{5803C4EC-79B5-43C7-977A-1EE39AFCCD45}" name="duration in days" totalsRowFunction="custom" dataDxfId="30" totalsRowDxfId="11">
      <totalsRowFormula>SUM(K27:K30)</totalsRowFormula>
    </tableColumn>
    <tableColumn id="11" xr3:uid="{105E36BE-7D8A-49AF-A78C-1FDA528ECF58}" name="Acceptance Criteria" dataDxfId="29" totalsRowDxfId="10"/>
    <tableColumn id="12" xr3:uid="{F449DA96-A56D-4FE3-97BB-C46357A16582}" name="Risks" dataDxfId="28" totalsRowDxfId="9"/>
    <tableColumn id="13" xr3:uid="{1BB8F11E-D804-4099-ACF5-19A07327ABC9}" name="Resources Assigned" dataDxfId="27" totalsRowDxfId="8"/>
    <tableColumn id="14" xr3:uid="{0D0CD076-E7A2-4FC3-B09D-F0646D621E0E}" name="Human Resource" dataDxfId="26" totalsRowDxfId="7"/>
    <tableColumn id="15" xr3:uid="{A652EB54-14BD-40AA-9783-183EDE66E716}" name="Equipment" dataDxfId="25" totalsRowDxfId="6"/>
    <tableColumn id="16" xr3:uid="{7EF192AA-6191-47D0-8B80-E49B7EAF5284}" name="Material" dataDxfId="24" totalsRowDxfId="5"/>
    <tableColumn id="17" xr3:uid="{6D3B4222-B653-4CD7-8466-03729A1C9C51}" name="Objectives" dataDxfId="23" totalsRowDxfId="4"/>
    <tableColumn id="18" xr3:uid="{A887A3DF-81B0-42DE-961D-E072A7C923AE}" name="Stakeholder" dataDxfId="22" totalsRowDxfId="3"/>
    <tableColumn id="19" xr3:uid="{F118E811-C33F-4C65-94DE-B3D1BBBC0411}" name="Stakeholder Requirement" dataDxfId="21" totalsRowDxfId="2"/>
    <tableColumn id="20" xr3:uid="{18048B1B-BE30-4616-BA00-C07B77E5E3B1}" name="References" dataDxfId="20" totalsRowDxfId="1"/>
    <tableColumn id="21" xr3:uid="{8938F315-862E-49B4-86B9-A940FD4D7FEB}" name="dis" dataDxfId="19" totalsRow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books.google.com.qa/books?id=Fn3SwUueZaAC&amp;pg=PA209&amp;lpg=PA209&amp;dq=shade+steel+structure+for+fish+farm&amp;source=bl&amp;ots=LGWRNy-A_k&amp;sig=ACfU3U1_c1AnyjzOeJypjOvBQpq3GcuBWQ&amp;hl=en&amp;sa=X&amp;ved=2ahUKEwizz5zxk4fpAhUaWX0KHR69CqYQ6AEwCnoECAoQAQ"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alibaba.com/product-detail/FRM-1120LD-HUALIAN-Bag-Sealing-Tape_1507683058.html?spm=a2700.galleryofferlist.0.0.3fbe2298cdxgi1&amp;bypass=true" TargetMode="External"/><Relationship Id="rId7" Type="http://schemas.openxmlformats.org/officeDocument/2006/relationships/printerSettings" Target="../printerSettings/printerSettings3.bin"/><Relationship Id="rId2" Type="http://schemas.openxmlformats.org/officeDocument/2006/relationships/hyperlink" Target="https://www.alibaba.com/product-detail/China-manufacturer-customized-conveyor-belt_60404043081.html?spm=a2700.details.deiletai6.2.4ec97704q3TO9b" TargetMode="External"/><Relationship Id="rId1" Type="http://schemas.openxmlformats.org/officeDocument/2006/relationships/hyperlink" Target="https://www.alibaba.com/product-detail/Logo-Customization-Individual-Freezing-Quick-Leading_62552035480.html?spm=a2700.galleryofferlist.0.0.754e32cdbsv93Q&amp;s=p&amp;bypass=true" TargetMode="External"/><Relationship Id="rId6" Type="http://schemas.openxmlformats.org/officeDocument/2006/relationships/hyperlink" Target="https://www.alibaba.com/product-detail/20TON-Rooftop-air-cooled-unit_60380990411.html?spm=a2700.details.deiletai6.8.40695fb5BztEpt&amp;bypass=true" TargetMode="External"/><Relationship Id="rId5" Type="http://schemas.openxmlformats.org/officeDocument/2006/relationships/hyperlink" Target="https://www.alibaba.com/product-detail/Packaging-Customization-Up-Door-Roll-Fast_60838677269.html?spm=a2700.drainage_lp_1.0.0.45e36dd0a2Z7gA&amp;s=p&amp;bypass=true" TargetMode="External"/><Relationship Id="rId4" Type="http://schemas.openxmlformats.org/officeDocument/2006/relationships/hyperlink" Target="https://www.alibaba.com/product-detail/Food-Rack-System-Food-Or-Cold_62441503848.html?spm=a2700.galleryofferlist.0.0.6cbc3f9dtTBGcU&amp;s=p&amp;bypass=true"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s://www.alibaba.com/product-detail/20TON-Rooftop-air-cooled-unit_60380990411.html?spm=a2700.details.deiletai6.8.40695fb5BztEpt&amp;bypass=tru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hyperlink" Target="http://www.fao.org/3/AC155E16.htm" TargetMode="External"/><Relationship Id="rId1" Type="http://schemas.openxmlformats.org/officeDocument/2006/relationships/hyperlink" Target="https://steemit.com/engineering/@kharrazi/excavator-and-calculate-its-productiv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D1AC0-6836-4104-A83E-97A8642F43BC}">
  <dimension ref="A1:U237"/>
  <sheetViews>
    <sheetView tabSelected="1" zoomScale="55" zoomScaleNormal="55" workbookViewId="0">
      <selection activeCell="E32" sqref="E32"/>
    </sheetView>
  </sheetViews>
  <sheetFormatPr defaultColWidth="8.7109375" defaultRowHeight="15" x14ac:dyDescent="0.25"/>
  <cols>
    <col min="1" max="1" width="16.28515625" style="1" bestFit="1" customWidth="1"/>
    <col min="2" max="2" width="38.140625" style="1" bestFit="1" customWidth="1"/>
    <col min="3" max="3" width="8.7109375" style="1"/>
    <col min="4" max="4" width="15.42578125" style="1" customWidth="1"/>
    <col min="5" max="5" width="90.5703125" style="1" bestFit="1" customWidth="1"/>
    <col min="6" max="6" width="19.5703125" style="1" bestFit="1" customWidth="1"/>
    <col min="7" max="7" width="22.140625" style="1" bestFit="1" customWidth="1"/>
    <col min="8" max="8" width="14.5703125" style="1" bestFit="1" customWidth="1"/>
    <col min="9" max="9" width="17.140625" style="1" bestFit="1" customWidth="1"/>
    <col min="10" max="10" width="21.140625" style="1" customWidth="1"/>
    <col min="11" max="11" width="18.85546875" style="1" customWidth="1"/>
    <col min="12" max="12" width="8.7109375" style="1"/>
    <col min="13" max="13" width="19.140625" style="1" customWidth="1"/>
    <col min="14" max="14" width="17" style="1" customWidth="1"/>
    <col min="15" max="15" width="16.5703125" style="1" bestFit="1" customWidth="1"/>
    <col min="16" max="16" width="9.85546875" style="1" customWidth="1"/>
    <col min="17" max="17" width="11.42578125" style="1" customWidth="1"/>
    <col min="18" max="18" width="12.7109375" style="1" customWidth="1"/>
    <col min="19" max="19" width="24" style="1" customWidth="1"/>
    <col min="20" max="20" width="149.42578125" style="1" bestFit="1" customWidth="1"/>
    <col min="21" max="21" width="198.5703125" style="1" bestFit="1" customWidth="1"/>
    <col min="22" max="16384" width="8.7109375" style="1"/>
  </cols>
  <sheetData>
    <row r="1" spans="1:21" x14ac:dyDescent="0.25">
      <c r="A1" s="1" t="s">
        <v>20</v>
      </c>
      <c r="B1" s="1" t="s">
        <v>0</v>
      </c>
      <c r="C1" s="1" t="s">
        <v>1</v>
      </c>
      <c r="D1" s="1" t="s">
        <v>5</v>
      </c>
      <c r="E1" s="1" t="s">
        <v>13</v>
      </c>
      <c r="F1" s="1" t="s">
        <v>2</v>
      </c>
      <c r="G1" s="1" t="s">
        <v>25</v>
      </c>
      <c r="H1" s="1" t="s">
        <v>9</v>
      </c>
      <c r="I1" s="1" t="s">
        <v>3</v>
      </c>
      <c r="J1" s="1" t="s">
        <v>4</v>
      </c>
      <c r="K1" s="1" t="s">
        <v>7</v>
      </c>
      <c r="L1" s="1" t="s">
        <v>6</v>
      </c>
      <c r="M1" s="1" t="s">
        <v>8</v>
      </c>
      <c r="N1" s="1" t="s">
        <v>10</v>
      </c>
      <c r="O1" s="1" t="s">
        <v>11</v>
      </c>
      <c r="P1" s="1" t="s">
        <v>12</v>
      </c>
      <c r="Q1" s="1" t="s">
        <v>16</v>
      </c>
      <c r="R1" s="1" t="s">
        <v>17</v>
      </c>
      <c r="S1" s="1" t="s">
        <v>18</v>
      </c>
      <c r="T1" s="1" t="s">
        <v>19</v>
      </c>
      <c r="U1" s="1" t="s">
        <v>35</v>
      </c>
    </row>
    <row r="3" spans="1:21" x14ac:dyDescent="0.25">
      <c r="B3" s="2" t="s">
        <v>182</v>
      </c>
      <c r="I3" s="8"/>
      <c r="J3" s="191"/>
    </row>
    <row r="4" spans="1:21" x14ac:dyDescent="0.25">
      <c r="E4" s="2" t="s">
        <v>184</v>
      </c>
      <c r="F4" s="1">
        <v>0.25</v>
      </c>
      <c r="G4" s="1">
        <v>100</v>
      </c>
      <c r="H4" s="14">
        <f>400000*1.2</f>
        <v>480000</v>
      </c>
      <c r="I4" s="8">
        <f>(Table1[[#This Row],[Quantity]]/Table1[[#This Row],[unit per duration ]])</f>
        <v>4800</v>
      </c>
      <c r="J4" s="191">
        <f>((Table1[[#This Row],[Quantity]]/Table1[[#This Row],[unit per duration ]])/24)/10</f>
        <v>20</v>
      </c>
      <c r="T4" s="12" t="s">
        <v>185</v>
      </c>
    </row>
    <row r="5" spans="1:21" x14ac:dyDescent="0.25">
      <c r="E5" s="2" t="s">
        <v>183</v>
      </c>
      <c r="F5" s="4">
        <v>200</v>
      </c>
      <c r="G5" s="6">
        <v>43.5</v>
      </c>
      <c r="H5" s="7">
        <f>400000*2</f>
        <v>800000</v>
      </c>
      <c r="I5" s="4">
        <f>(Table1[[#This Row],[Quantity]]/Table1[[#This Row],[unit per duration ]])*Table1[[#This Row],[Cost per unit ]]</f>
        <v>3678160.9195402302</v>
      </c>
      <c r="J5" s="191">
        <f>((Table1[[#This Row],[Quantity]]/Table1[[#This Row],[unit per duration ]])/10)/40</f>
        <v>45.977011494252871</v>
      </c>
      <c r="O5" s="1" t="s">
        <v>28</v>
      </c>
      <c r="T5" s="12" t="s">
        <v>29</v>
      </c>
    </row>
    <row r="6" spans="1:21" x14ac:dyDescent="0.25">
      <c r="E6" s="2" t="s">
        <v>33</v>
      </c>
      <c r="F6" s="4">
        <v>14.56</v>
      </c>
      <c r="G6" s="6" t="s">
        <v>14</v>
      </c>
      <c r="H6" s="7">
        <f>400000*2</f>
        <v>800000</v>
      </c>
      <c r="I6" s="15">
        <f>Table1[[#This Row],[Quantity]]/Table1[[#This Row],[Cost per unit ]]</f>
        <v>54945.054945054944</v>
      </c>
      <c r="J6" s="191">
        <v>10</v>
      </c>
      <c r="T6" s="5"/>
    </row>
    <row r="7" spans="1:21" x14ac:dyDescent="0.25">
      <c r="E7" s="2" t="s">
        <v>31</v>
      </c>
      <c r="F7" s="18">
        <v>11.26</v>
      </c>
      <c r="G7" s="13">
        <v>4200</v>
      </c>
      <c r="H7" s="14">
        <f>400000*(150/1000)</f>
        <v>60000</v>
      </c>
      <c r="I7" s="8">
        <f>Table1[[#This Row],[Quantity]]/Table1[[#This Row],[Cost per unit ]]</f>
        <v>5328.5968028419184</v>
      </c>
      <c r="J7" s="191">
        <f>Table1[[#This Row],[Quantity]]/(Table1[[#This Row],[unit per duration ]]*5)</f>
        <v>2.8571428571428572</v>
      </c>
      <c r="O7" s="1" t="s">
        <v>30</v>
      </c>
      <c r="T7" t="s">
        <v>27</v>
      </c>
    </row>
    <row r="8" spans="1:21" x14ac:dyDescent="0.25">
      <c r="E8" s="16" t="s">
        <v>32</v>
      </c>
      <c r="F8" s="19">
        <f>0.8 *(1+1/5)</f>
        <v>0.96</v>
      </c>
      <c r="G8" s="17">
        <v>10000</v>
      </c>
      <c r="H8" s="14">
        <f>400000*1.2</f>
        <v>480000</v>
      </c>
      <c r="I8" s="8">
        <f>Table1[[#This Row],[Quantity]]*Table1[[#This Row],[Cost per unit ]]</f>
        <v>460800</v>
      </c>
      <c r="J8" s="191">
        <f>((Table1[[#This Row],[Quantity]]/Table1[[#This Row],[unit per duration ]]))</f>
        <v>48</v>
      </c>
      <c r="T8" t="s">
        <v>27</v>
      </c>
    </row>
    <row r="9" spans="1:21" x14ac:dyDescent="0.25">
      <c r="B9" s="2" t="s">
        <v>21</v>
      </c>
      <c r="I9" s="8"/>
      <c r="J9" s="191"/>
    </row>
    <row r="10" spans="1:21" x14ac:dyDescent="0.25">
      <c r="E10" s="3" t="s">
        <v>22</v>
      </c>
      <c r="F10" s="1">
        <v>15</v>
      </c>
      <c r="H10" s="14">
        <f>H4</f>
        <v>480000</v>
      </c>
      <c r="I10" s="10">
        <f>Table1[[#This Row],[Quantity]]*Table1[[#This Row],[Cost per unit ]]</f>
        <v>7200000</v>
      </c>
      <c r="J10" s="191">
        <f>30*4</f>
        <v>120</v>
      </c>
      <c r="T10" s="1" t="s">
        <v>186</v>
      </c>
    </row>
    <row r="11" spans="1:21" x14ac:dyDescent="0.25">
      <c r="E11" s="3" t="s">
        <v>23</v>
      </c>
      <c r="F11" s="20">
        <f>0.06*(1+1/5)</f>
        <v>7.1999999999999995E-2</v>
      </c>
      <c r="G11" s="11">
        <f>250</f>
        <v>250</v>
      </c>
      <c r="H11" s="1">
        <f>400000*1.5</f>
        <v>600000</v>
      </c>
      <c r="I11" s="10">
        <f>Table1[[#This Row],[Quantity]]*Table1[[#This Row],[Cost per unit ]]</f>
        <v>43200</v>
      </c>
      <c r="J11" s="191">
        <f>((Table1[[#This Row],[Quantity]]/Table1[[#This Row],[unit per duration ]])/8)/10</f>
        <v>30</v>
      </c>
      <c r="N11" s="1" t="s">
        <v>26</v>
      </c>
      <c r="T11" s="5" t="s">
        <v>24</v>
      </c>
    </row>
    <row r="78" spans="5:8" x14ac:dyDescent="0.25">
      <c r="E78" s="29"/>
      <c r="F78" s="27"/>
      <c r="G78" s="27"/>
      <c r="H78" s="28"/>
    </row>
    <row r="79" spans="5:8" x14ac:dyDescent="0.25">
      <c r="E79" s="29"/>
      <c r="F79" s="27"/>
      <c r="G79" s="27"/>
      <c r="H79" s="28"/>
    </row>
    <row r="80" spans="5:8" x14ac:dyDescent="0.25">
      <c r="E80" s="29"/>
      <c r="F80" s="27"/>
      <c r="G80" s="27"/>
      <c r="H80" s="28"/>
    </row>
    <row r="81" spans="5:8" x14ac:dyDescent="0.25">
      <c r="E81" s="29"/>
      <c r="F81" s="27"/>
      <c r="G81" s="27"/>
      <c r="H81" s="28"/>
    </row>
    <row r="82" spans="5:8" x14ac:dyDescent="0.25">
      <c r="E82" s="29"/>
      <c r="F82" s="27"/>
      <c r="G82" s="27"/>
      <c r="H82" s="28"/>
    </row>
    <row r="83" spans="5:8" x14ac:dyDescent="0.25">
      <c r="E83" s="30"/>
      <c r="F83" s="27"/>
      <c r="G83" s="27"/>
      <c r="H83" s="28"/>
    </row>
    <row r="84" spans="5:8" x14ac:dyDescent="0.25">
      <c r="E84" s="31"/>
      <c r="F84" s="27"/>
      <c r="G84" s="27"/>
      <c r="H84" s="28"/>
    </row>
    <row r="85" spans="5:8" x14ac:dyDescent="0.25">
      <c r="E85" s="32"/>
      <c r="F85" s="27"/>
      <c r="G85" s="27"/>
      <c r="H85" s="28"/>
    </row>
    <row r="86" spans="5:8" x14ac:dyDescent="0.25">
      <c r="E86" s="33"/>
      <c r="F86" s="27"/>
      <c r="G86" s="27"/>
      <c r="H86" s="28"/>
    </row>
    <row r="87" spans="5:8" x14ac:dyDescent="0.25">
      <c r="E87" s="34"/>
      <c r="F87" s="35"/>
      <c r="G87" s="35"/>
      <c r="H87" s="36"/>
    </row>
    <row r="88" spans="5:8" x14ac:dyDescent="0.25">
      <c r="E88" s="37"/>
      <c r="F88" s="27"/>
      <c r="G88" s="27"/>
      <c r="H88" s="28"/>
    </row>
    <row r="89" spans="5:8" x14ac:dyDescent="0.25">
      <c r="E89" s="38"/>
      <c r="F89" s="27"/>
      <c r="G89" s="27"/>
      <c r="H89" s="28"/>
    </row>
    <row r="90" spans="5:8" x14ac:dyDescent="0.25">
      <c r="E90" s="39"/>
      <c r="F90" s="40"/>
      <c r="G90" s="40"/>
      <c r="H90" s="41"/>
    </row>
    <row r="91" spans="5:8" x14ac:dyDescent="0.25">
      <c r="E91" s="42"/>
      <c r="F91" s="40"/>
      <c r="G91" s="40"/>
      <c r="H91" s="43"/>
    </row>
    <row r="92" spans="5:8" x14ac:dyDescent="0.25">
      <c r="E92" s="42"/>
      <c r="F92" s="40"/>
      <c r="G92" s="40"/>
      <c r="H92" s="43"/>
    </row>
    <row r="93" spans="5:8" x14ac:dyDescent="0.25">
      <c r="E93" s="42"/>
      <c r="F93" s="27"/>
      <c r="G93" s="40"/>
      <c r="H93" s="28"/>
    </row>
    <row r="94" spans="5:8" x14ac:dyDescent="0.25">
      <c r="E94" s="44"/>
      <c r="F94" s="27"/>
      <c r="G94" s="45"/>
      <c r="H94" s="28"/>
    </row>
    <row r="95" spans="5:8" x14ac:dyDescent="0.25">
      <c r="E95" s="42"/>
      <c r="F95" s="27"/>
      <c r="G95" s="40"/>
      <c r="H95" s="43"/>
    </row>
    <row r="96" spans="5:8" x14ac:dyDescent="0.25">
      <c r="E96" s="42"/>
      <c r="F96" s="27"/>
      <c r="G96" s="40"/>
      <c r="H96" s="43"/>
    </row>
    <row r="97" spans="5:8" x14ac:dyDescent="0.25">
      <c r="E97" s="46"/>
      <c r="F97" s="47"/>
      <c r="G97" s="47"/>
      <c r="H97" s="48"/>
    </row>
    <row r="98" spans="5:8" x14ac:dyDescent="0.25">
      <c r="E98" s="32"/>
      <c r="F98" s="27"/>
      <c r="G98" s="40"/>
      <c r="H98" s="28"/>
    </row>
    <row r="99" spans="5:8" x14ac:dyDescent="0.25">
      <c r="E99" s="42"/>
      <c r="F99" s="27"/>
      <c r="G99" s="40"/>
      <c r="H99" s="43"/>
    </row>
    <row r="100" spans="5:8" x14ac:dyDescent="0.25">
      <c r="E100" s="42"/>
      <c r="F100" s="27"/>
      <c r="G100" s="40"/>
      <c r="H100" s="43"/>
    </row>
    <row r="101" spans="5:8" x14ac:dyDescent="0.25">
      <c r="E101" s="42"/>
      <c r="F101" s="40"/>
      <c r="G101" s="40"/>
      <c r="H101" s="43"/>
    </row>
    <row r="102" spans="5:8" x14ac:dyDescent="0.25">
      <c r="E102" s="32"/>
      <c r="F102" s="27"/>
      <c r="G102" s="27"/>
      <c r="H102" s="28"/>
    </row>
    <row r="103" spans="5:8" x14ac:dyDescent="0.25">
      <c r="E103" s="42"/>
      <c r="F103" s="40"/>
      <c r="G103" s="40"/>
      <c r="H103" s="43"/>
    </row>
    <row r="104" spans="5:8" x14ac:dyDescent="0.25">
      <c r="E104" s="32"/>
      <c r="F104" s="27"/>
      <c r="G104" s="27"/>
      <c r="H104" s="28"/>
    </row>
    <row r="105" spans="5:8" x14ac:dyDescent="0.25">
      <c r="E105" s="39"/>
      <c r="F105" s="40"/>
      <c r="G105" s="40"/>
      <c r="H105" s="41"/>
    </row>
    <row r="106" spans="5:8" x14ac:dyDescent="0.25">
      <c r="E106" s="42"/>
      <c r="F106" s="40"/>
      <c r="G106" s="40"/>
      <c r="H106" s="43"/>
    </row>
    <row r="107" spans="5:8" x14ac:dyDescent="0.25">
      <c r="E107" s="42"/>
      <c r="F107" s="40"/>
      <c r="G107" s="40"/>
      <c r="H107" s="43"/>
    </row>
    <row r="108" spans="5:8" x14ac:dyDescent="0.25">
      <c r="E108" s="42"/>
      <c r="F108" s="40"/>
      <c r="G108" s="40"/>
      <c r="H108" s="41"/>
    </row>
    <row r="109" spans="5:8" x14ac:dyDescent="0.25">
      <c r="E109" s="42"/>
      <c r="F109" s="40"/>
      <c r="G109" s="40"/>
      <c r="H109" s="43"/>
    </row>
    <row r="110" spans="5:8" x14ac:dyDescent="0.25">
      <c r="E110" s="42"/>
      <c r="F110" s="40"/>
      <c r="G110" s="40"/>
      <c r="H110" s="43"/>
    </row>
    <row r="111" spans="5:8" x14ac:dyDescent="0.25">
      <c r="E111" s="32"/>
      <c r="F111" s="47"/>
      <c r="G111" s="47"/>
      <c r="H111" s="48"/>
    </row>
    <row r="112" spans="5:8" x14ac:dyDescent="0.25">
      <c r="E112" s="42"/>
      <c r="F112" s="27"/>
      <c r="G112" s="40"/>
      <c r="H112" s="43"/>
    </row>
    <row r="113" spans="5:8" x14ac:dyDescent="0.25">
      <c r="E113" s="42"/>
      <c r="F113" s="27"/>
      <c r="G113" s="40"/>
      <c r="H113" s="43"/>
    </row>
    <row r="114" spans="5:8" x14ac:dyDescent="0.25">
      <c r="E114" s="42"/>
      <c r="F114" s="40"/>
      <c r="G114" s="40"/>
      <c r="H114" s="43"/>
    </row>
    <row r="115" spans="5:8" x14ac:dyDescent="0.25">
      <c r="E115" s="194"/>
      <c r="F115" s="194"/>
      <c r="G115" s="194"/>
      <c r="H115" s="194"/>
    </row>
    <row r="116" spans="5:8" x14ac:dyDescent="0.25">
      <c r="E116" s="194"/>
      <c r="F116" s="194"/>
      <c r="G116" s="194"/>
      <c r="H116" s="194"/>
    </row>
    <row r="117" spans="5:8" x14ac:dyDescent="0.25">
      <c r="E117" s="32"/>
      <c r="F117" s="47"/>
      <c r="G117" s="47"/>
      <c r="H117" s="48"/>
    </row>
    <row r="118" spans="5:8" x14ac:dyDescent="0.25">
      <c r="E118" s="42"/>
      <c r="F118" s="40"/>
      <c r="G118" s="40"/>
      <c r="H118" s="43"/>
    </row>
    <row r="119" spans="5:8" x14ac:dyDescent="0.25">
      <c r="E119" s="39"/>
      <c r="F119" s="40"/>
      <c r="G119" s="40"/>
      <c r="H119" s="41"/>
    </row>
    <row r="120" spans="5:8" x14ac:dyDescent="0.25">
      <c r="E120" s="49"/>
      <c r="F120" s="40"/>
      <c r="G120" s="40"/>
      <c r="H120" s="41"/>
    </row>
    <row r="121" spans="5:8" x14ac:dyDescent="0.25">
      <c r="E121" s="42"/>
      <c r="F121" s="40"/>
      <c r="G121" s="40"/>
      <c r="H121" s="43"/>
    </row>
    <row r="122" spans="5:8" x14ac:dyDescent="0.25">
      <c r="E122" s="42"/>
      <c r="F122" s="40"/>
      <c r="G122" s="40"/>
      <c r="H122" s="43"/>
    </row>
    <row r="123" spans="5:8" x14ac:dyDescent="0.25">
      <c r="E123" s="42"/>
      <c r="F123" s="40"/>
      <c r="G123" s="40"/>
      <c r="H123" s="43"/>
    </row>
    <row r="124" spans="5:8" x14ac:dyDescent="0.25">
      <c r="E124" s="39"/>
      <c r="F124" s="27"/>
      <c r="G124" s="27"/>
      <c r="H124" s="28"/>
    </row>
    <row r="125" spans="5:8" x14ac:dyDescent="0.25">
      <c r="E125" s="50"/>
      <c r="F125" s="27"/>
      <c r="G125" s="27"/>
      <c r="H125" s="28"/>
    </row>
    <row r="126" spans="5:8" x14ac:dyDescent="0.25">
      <c r="E126" s="51"/>
      <c r="F126" s="27"/>
      <c r="G126" s="27"/>
      <c r="H126" s="28"/>
    </row>
    <row r="127" spans="5:8" x14ac:dyDescent="0.25">
      <c r="E127" s="42"/>
      <c r="F127" s="40"/>
      <c r="G127" s="40"/>
      <c r="H127" s="43"/>
    </row>
    <row r="128" spans="5:8" x14ac:dyDescent="0.25">
      <c r="E128" s="42"/>
      <c r="F128" s="40"/>
      <c r="G128" s="40"/>
      <c r="H128" s="43"/>
    </row>
    <row r="129" spans="5:8" x14ac:dyDescent="0.25">
      <c r="E129" s="32"/>
      <c r="F129" s="47"/>
      <c r="G129" s="47"/>
      <c r="H129" s="48"/>
    </row>
    <row r="130" spans="5:8" x14ac:dyDescent="0.25">
      <c r="E130" s="39"/>
      <c r="F130" s="40"/>
      <c r="G130" s="40"/>
      <c r="H130" s="43"/>
    </row>
    <row r="131" spans="5:8" x14ac:dyDescent="0.25">
      <c r="E131" s="52"/>
      <c r="F131" s="53"/>
      <c r="G131" s="53"/>
      <c r="H131" s="41"/>
    </row>
    <row r="132" spans="5:8" x14ac:dyDescent="0.25">
      <c r="E132" s="54"/>
      <c r="F132" s="45"/>
      <c r="G132" s="40"/>
      <c r="H132" s="43"/>
    </row>
    <row r="133" spans="5:8" x14ac:dyDescent="0.25">
      <c r="E133" s="55"/>
      <c r="F133" s="56"/>
      <c r="G133" s="57"/>
      <c r="H133" s="43"/>
    </row>
    <row r="134" spans="5:8" x14ac:dyDescent="0.25">
      <c r="E134" s="58"/>
      <c r="F134" s="59"/>
      <c r="G134" s="57"/>
      <c r="H134" s="43"/>
    </row>
    <row r="135" spans="5:8" x14ac:dyDescent="0.25">
      <c r="E135" s="194"/>
      <c r="F135" s="194"/>
      <c r="G135" s="194"/>
      <c r="H135" s="194"/>
    </row>
    <row r="136" spans="5:8" x14ac:dyDescent="0.25">
      <c r="E136" s="194"/>
      <c r="F136" s="194"/>
      <c r="G136" s="194"/>
      <c r="H136" s="194"/>
    </row>
    <row r="137" spans="5:8" x14ac:dyDescent="0.25">
      <c r="E137" s="60"/>
      <c r="F137" s="27"/>
      <c r="G137" s="27"/>
      <c r="H137" s="28"/>
    </row>
    <row r="138" spans="5:8" x14ac:dyDescent="0.25">
      <c r="E138" s="61"/>
      <c r="F138" s="62"/>
      <c r="G138" s="61"/>
      <c r="H138" s="63"/>
    </row>
    <row r="139" spans="5:8" x14ac:dyDescent="0.25">
      <c r="E139" s="64"/>
      <c r="F139" s="65"/>
      <c r="G139" s="66"/>
      <c r="H139" s="28"/>
    </row>
    <row r="140" spans="5:8" x14ac:dyDescent="0.25">
      <c r="E140" s="32"/>
      <c r="F140" s="67"/>
      <c r="G140" s="68"/>
      <c r="H140" s="69"/>
    </row>
    <row r="141" spans="5:8" x14ac:dyDescent="0.25">
      <c r="E141" s="70"/>
      <c r="F141" s="27"/>
      <c r="G141" s="27"/>
      <c r="H141" s="28"/>
    </row>
    <row r="142" spans="5:8" x14ac:dyDescent="0.25">
      <c r="E142" s="64"/>
      <c r="F142" s="27"/>
      <c r="G142" s="27"/>
      <c r="H142" s="28"/>
    </row>
    <row r="143" spans="5:8" x14ac:dyDescent="0.25">
      <c r="E143" s="71"/>
      <c r="F143" s="72"/>
      <c r="G143" s="73"/>
      <c r="H143" s="41"/>
    </row>
    <row r="144" spans="5:8" x14ac:dyDescent="0.25">
      <c r="E144" s="25"/>
      <c r="F144" s="72"/>
      <c r="G144" s="73"/>
      <c r="H144" s="43"/>
    </row>
    <row r="145" spans="2:8" x14ac:dyDescent="0.25">
      <c r="E145" s="71"/>
      <c r="F145" s="74"/>
      <c r="G145" s="73"/>
      <c r="H145" s="41"/>
    </row>
    <row r="146" spans="2:8" x14ac:dyDescent="0.25">
      <c r="E146" s="25"/>
      <c r="F146" s="67"/>
      <c r="G146" s="68"/>
      <c r="H146" s="69"/>
    </row>
    <row r="147" spans="2:8" x14ac:dyDescent="0.25">
      <c r="E147" s="25"/>
      <c r="F147" s="72"/>
      <c r="G147" s="73"/>
      <c r="H147" s="69"/>
    </row>
    <row r="148" spans="2:8" x14ac:dyDescent="0.25">
      <c r="E148" s="75"/>
      <c r="F148" s="67"/>
      <c r="G148" s="68"/>
      <c r="H148" s="69"/>
    </row>
    <row r="149" spans="2:8" x14ac:dyDescent="0.25">
      <c r="E149" s="75"/>
      <c r="F149" s="67"/>
      <c r="G149" s="68"/>
      <c r="H149" s="69"/>
    </row>
    <row r="150" spans="2:8" x14ac:dyDescent="0.25">
      <c r="E150" s="32"/>
      <c r="F150" s="27"/>
      <c r="G150" s="40"/>
      <c r="H150" s="43"/>
    </row>
    <row r="151" spans="2:8" x14ac:dyDescent="0.25">
      <c r="E151" s="76"/>
      <c r="F151" s="27"/>
      <c r="G151" s="77"/>
      <c r="H151" s="78"/>
    </row>
    <row r="152" spans="2:8" x14ac:dyDescent="0.25">
      <c r="E152" s="39"/>
      <c r="F152" s="40"/>
      <c r="G152" s="79"/>
      <c r="H152" s="43"/>
    </row>
    <row r="153" spans="2:8" x14ac:dyDescent="0.25">
      <c r="B153" s="80"/>
    </row>
    <row r="154" spans="2:8" x14ac:dyDescent="0.25">
      <c r="E154" s="81"/>
      <c r="F154" s="82"/>
      <c r="G154" s="82"/>
    </row>
    <row r="155" spans="2:8" x14ac:dyDescent="0.25">
      <c r="E155" s="83"/>
      <c r="F155" s="67"/>
      <c r="G155" s="68"/>
    </row>
    <row r="156" spans="2:8" x14ac:dyDescent="0.25">
      <c r="E156" s="83"/>
      <c r="F156" s="67"/>
      <c r="G156" s="68"/>
    </row>
    <row r="157" spans="2:8" x14ac:dyDescent="0.25">
      <c r="E157" s="84"/>
      <c r="F157" s="85"/>
      <c r="G157" s="85"/>
    </row>
    <row r="158" spans="2:8" x14ac:dyDescent="0.25">
      <c r="E158" s="86"/>
      <c r="F158" s="85"/>
      <c r="G158" s="85"/>
    </row>
    <row r="159" spans="2:8" x14ac:dyDescent="0.25">
      <c r="E159" s="87"/>
      <c r="F159" s="68"/>
      <c r="G159" s="68"/>
    </row>
    <row r="160" spans="2:8" x14ac:dyDescent="0.25">
      <c r="E160" s="86"/>
      <c r="F160" s="85"/>
      <c r="G160" s="85"/>
    </row>
    <row r="161" spans="2:8" x14ac:dyDescent="0.25">
      <c r="E161" s="86"/>
      <c r="F161" s="85"/>
      <c r="G161" s="85"/>
    </row>
    <row r="162" spans="2:8" x14ac:dyDescent="0.25">
      <c r="E162" s="86"/>
      <c r="F162" s="85"/>
      <c r="G162" s="85"/>
    </row>
    <row r="163" spans="2:8" x14ac:dyDescent="0.25">
      <c r="E163" s="88"/>
      <c r="F163" s="85"/>
      <c r="G163" s="85"/>
    </row>
    <row r="164" spans="2:8" x14ac:dyDescent="0.25">
      <c r="E164" s="86"/>
      <c r="F164" s="85"/>
      <c r="G164" s="85"/>
    </row>
    <row r="165" spans="2:8" x14ac:dyDescent="0.25">
      <c r="B165" s="89"/>
    </row>
    <row r="166" spans="2:8" x14ac:dyDescent="0.25">
      <c r="E166" s="90"/>
      <c r="F166" s="91"/>
      <c r="G166" s="92"/>
      <c r="H166" s="93"/>
    </row>
    <row r="167" spans="2:8" x14ac:dyDescent="0.25">
      <c r="E167" s="94"/>
      <c r="F167" s="95"/>
      <c r="G167" s="92"/>
      <c r="H167" s="93"/>
    </row>
    <row r="168" spans="2:8" x14ac:dyDescent="0.25">
      <c r="E168" s="91"/>
      <c r="F168" s="96"/>
      <c r="G168" s="97"/>
      <c r="H168" s="69"/>
    </row>
    <row r="169" spans="2:8" x14ac:dyDescent="0.25">
      <c r="E169" s="94"/>
      <c r="F169" s="95"/>
      <c r="G169" s="92"/>
      <c r="H169" s="93"/>
    </row>
    <row r="170" spans="2:8" x14ac:dyDescent="0.25">
      <c r="E170" s="91"/>
      <c r="F170" s="96"/>
      <c r="G170" s="97"/>
      <c r="H170" s="69"/>
    </row>
    <row r="171" spans="2:8" x14ac:dyDescent="0.25">
      <c r="E171" s="91"/>
      <c r="F171" s="96"/>
      <c r="G171" s="97"/>
      <c r="H171" s="69"/>
    </row>
    <row r="172" spans="2:8" x14ac:dyDescent="0.25">
      <c r="E172" s="94"/>
      <c r="F172" s="95"/>
      <c r="G172" s="92"/>
      <c r="H172" s="93"/>
    </row>
    <row r="173" spans="2:8" x14ac:dyDescent="0.25">
      <c r="E173" s="91"/>
      <c r="F173" s="96"/>
      <c r="G173" s="97"/>
      <c r="H173" s="69"/>
    </row>
    <row r="174" spans="2:8" x14ac:dyDescent="0.25">
      <c r="E174" s="90"/>
      <c r="F174" s="96"/>
      <c r="G174" s="97"/>
      <c r="H174" s="98"/>
    </row>
    <row r="175" spans="2:8" x14ac:dyDescent="0.25">
      <c r="E175" s="94"/>
      <c r="F175" s="95"/>
      <c r="G175" s="92"/>
      <c r="H175" s="93"/>
    </row>
    <row r="176" spans="2:8" x14ac:dyDescent="0.25">
      <c r="E176" s="91"/>
      <c r="F176" s="96"/>
      <c r="G176" s="97"/>
      <c r="H176" s="69"/>
    </row>
    <row r="177" spans="5:8" x14ac:dyDescent="0.25">
      <c r="E177" s="91"/>
      <c r="F177" s="96"/>
      <c r="G177" s="97"/>
      <c r="H177" s="69"/>
    </row>
    <row r="178" spans="5:8" x14ac:dyDescent="0.25">
      <c r="E178" s="99"/>
      <c r="F178" s="67"/>
      <c r="G178" s="68"/>
      <c r="H178" s="69"/>
    </row>
    <row r="179" spans="5:8" x14ac:dyDescent="0.25">
      <c r="E179" s="91"/>
      <c r="F179" s="96"/>
      <c r="G179" s="97"/>
      <c r="H179" s="98"/>
    </row>
    <row r="180" spans="5:8" x14ac:dyDescent="0.25">
      <c r="E180" s="91"/>
      <c r="F180" s="96"/>
      <c r="G180" s="97"/>
      <c r="H180" s="69"/>
    </row>
    <row r="181" spans="5:8" x14ac:dyDescent="0.25">
      <c r="E181" s="91"/>
      <c r="F181" s="67"/>
      <c r="G181" s="68"/>
      <c r="H181" s="69"/>
    </row>
    <row r="182" spans="5:8" x14ac:dyDescent="0.25">
      <c r="E182" s="90"/>
      <c r="F182" s="100"/>
      <c r="G182" s="101"/>
      <c r="H182" s="102"/>
    </row>
    <row r="183" spans="5:8" x14ac:dyDescent="0.25">
      <c r="E183" s="94"/>
      <c r="F183" s="95"/>
      <c r="G183" s="92"/>
      <c r="H183" s="93"/>
    </row>
    <row r="184" spans="5:8" x14ac:dyDescent="0.25">
      <c r="E184" s="91"/>
      <c r="F184" s="96"/>
      <c r="G184" s="97"/>
      <c r="H184" s="69"/>
    </row>
    <row r="185" spans="5:8" x14ac:dyDescent="0.25">
      <c r="E185" s="91"/>
      <c r="F185" s="96"/>
      <c r="G185" s="97"/>
      <c r="H185" s="69"/>
    </row>
    <row r="186" spans="5:8" x14ac:dyDescent="0.25">
      <c r="E186" s="91"/>
      <c r="F186" s="96"/>
      <c r="G186" s="97"/>
      <c r="H186" s="69"/>
    </row>
    <row r="187" spans="5:8" x14ac:dyDescent="0.25">
      <c r="E187" s="91"/>
      <c r="F187" s="96"/>
      <c r="G187" s="97"/>
      <c r="H187" s="69"/>
    </row>
    <row r="188" spans="5:8" x14ac:dyDescent="0.25">
      <c r="E188" s="91"/>
      <c r="F188" s="96"/>
      <c r="G188" s="97"/>
      <c r="H188" s="69"/>
    </row>
    <row r="189" spans="5:8" x14ac:dyDescent="0.25">
      <c r="E189" s="91"/>
      <c r="F189" s="96"/>
      <c r="G189" s="97"/>
      <c r="H189" s="69"/>
    </row>
    <row r="190" spans="5:8" x14ac:dyDescent="0.25">
      <c r="E190" s="192"/>
      <c r="F190" s="192"/>
      <c r="G190" s="192"/>
      <c r="H190" s="193"/>
    </row>
    <row r="191" spans="5:8" x14ac:dyDescent="0.25">
      <c r="E191" s="192"/>
      <c r="F191" s="192"/>
      <c r="G191" s="192"/>
      <c r="H191" s="193"/>
    </row>
    <row r="192" spans="5:8" x14ac:dyDescent="0.25">
      <c r="E192" s="94"/>
      <c r="F192" s="95"/>
      <c r="G192" s="101"/>
      <c r="H192" s="102"/>
    </row>
    <row r="193" spans="5:8" x14ac:dyDescent="0.25">
      <c r="E193" s="91"/>
      <c r="F193" s="96"/>
      <c r="G193" s="97"/>
      <c r="H193" s="98"/>
    </row>
    <row r="194" spans="5:8" x14ac:dyDescent="0.25">
      <c r="E194" s="103"/>
      <c r="F194" s="104"/>
      <c r="G194" s="97"/>
      <c r="H194" s="69"/>
    </row>
    <row r="195" spans="5:8" x14ac:dyDescent="0.25">
      <c r="E195" s="105"/>
      <c r="F195" s="104"/>
      <c r="G195" s="97"/>
      <c r="H195" s="69"/>
    </row>
    <row r="196" spans="5:8" x14ac:dyDescent="0.25">
      <c r="E196" s="106"/>
      <c r="F196" s="104"/>
      <c r="G196" s="97"/>
      <c r="H196" s="69"/>
    </row>
    <row r="197" spans="5:8" x14ac:dyDescent="0.25">
      <c r="E197" s="106"/>
      <c r="F197" s="104"/>
      <c r="G197" s="97"/>
      <c r="H197" s="69"/>
    </row>
    <row r="198" spans="5:8" x14ac:dyDescent="0.25">
      <c r="E198" s="106"/>
      <c r="F198" s="104"/>
      <c r="G198" s="97"/>
      <c r="H198" s="69"/>
    </row>
    <row r="199" spans="5:8" x14ac:dyDescent="0.25">
      <c r="E199" s="103"/>
      <c r="F199" s="104"/>
      <c r="G199" s="97"/>
      <c r="H199" s="69"/>
    </row>
    <row r="200" spans="5:8" x14ac:dyDescent="0.25">
      <c r="E200" s="107"/>
      <c r="F200" s="91"/>
      <c r="G200" s="91"/>
      <c r="H200" s="102"/>
    </row>
    <row r="201" spans="5:8" x14ac:dyDescent="0.25">
      <c r="E201" s="108"/>
      <c r="F201" s="104"/>
      <c r="G201" s="97"/>
      <c r="H201" s="69"/>
    </row>
    <row r="202" spans="5:8" x14ac:dyDescent="0.25">
      <c r="E202" s="108"/>
      <c r="F202" s="104"/>
      <c r="G202" s="97"/>
      <c r="H202" s="69"/>
    </row>
    <row r="203" spans="5:8" x14ac:dyDescent="0.25">
      <c r="E203" s="106"/>
      <c r="F203" s="104"/>
      <c r="G203" s="97"/>
      <c r="H203" s="69"/>
    </row>
    <row r="204" spans="5:8" x14ac:dyDescent="0.25">
      <c r="E204" s="106"/>
      <c r="F204" s="104"/>
      <c r="G204" s="97"/>
      <c r="H204" s="69"/>
    </row>
    <row r="205" spans="5:8" x14ac:dyDescent="0.25">
      <c r="E205" s="106"/>
      <c r="F205" s="104"/>
      <c r="G205" s="97"/>
      <c r="H205" s="69"/>
    </row>
    <row r="206" spans="5:8" x14ac:dyDescent="0.25">
      <c r="E206" s="106"/>
      <c r="F206" s="104"/>
      <c r="G206" s="97"/>
      <c r="H206" s="102"/>
    </row>
    <row r="207" spans="5:8" x14ac:dyDescent="0.25">
      <c r="E207" s="91"/>
      <c r="F207" s="96"/>
      <c r="G207" s="97"/>
      <c r="H207" s="69"/>
    </row>
    <row r="208" spans="5:8" x14ac:dyDescent="0.25">
      <c r="E208" s="91"/>
      <c r="F208" s="96"/>
      <c r="G208" s="97"/>
      <c r="H208" s="69"/>
    </row>
    <row r="209" spans="5:8" x14ac:dyDescent="0.25">
      <c r="E209" s="91"/>
      <c r="F209" s="96"/>
      <c r="G209" s="97"/>
      <c r="H209" s="69"/>
    </row>
    <row r="210" spans="5:8" x14ac:dyDescent="0.25">
      <c r="E210" s="91"/>
      <c r="F210" s="96"/>
      <c r="G210" s="97"/>
      <c r="H210" s="69"/>
    </row>
    <row r="211" spans="5:8" x14ac:dyDescent="0.25">
      <c r="E211" s="192"/>
      <c r="F211" s="192"/>
      <c r="G211" s="192"/>
      <c r="H211" s="193"/>
    </row>
    <row r="212" spans="5:8" x14ac:dyDescent="0.25">
      <c r="E212" s="194"/>
      <c r="F212" s="194"/>
      <c r="G212" s="194"/>
      <c r="H212" s="194"/>
    </row>
    <row r="213" spans="5:8" x14ac:dyDescent="0.25">
      <c r="E213" s="90"/>
      <c r="F213" s="95"/>
      <c r="G213" s="101"/>
      <c r="H213" s="102"/>
    </row>
    <row r="214" spans="5:8" x14ac:dyDescent="0.25">
      <c r="E214" s="94"/>
      <c r="F214" s="95"/>
      <c r="G214" s="101"/>
      <c r="H214" s="102"/>
    </row>
    <row r="215" spans="5:8" x14ac:dyDescent="0.25">
      <c r="E215" s="91"/>
      <c r="F215" s="96"/>
      <c r="G215" s="97"/>
      <c r="H215" s="69"/>
    </row>
    <row r="216" spans="5:8" x14ac:dyDescent="0.25">
      <c r="E216" s="91"/>
      <c r="F216" s="96"/>
      <c r="G216" s="97"/>
      <c r="H216" s="69"/>
    </row>
    <row r="217" spans="5:8" x14ac:dyDescent="0.25">
      <c r="E217" s="91"/>
      <c r="F217" s="96"/>
      <c r="G217" s="97"/>
      <c r="H217" s="69"/>
    </row>
    <row r="218" spans="5:8" x14ac:dyDescent="0.25">
      <c r="E218" s="91"/>
      <c r="F218" s="67"/>
      <c r="G218" s="68"/>
      <c r="H218" s="69"/>
    </row>
    <row r="219" spans="5:8" x14ac:dyDescent="0.25">
      <c r="E219" s="91"/>
      <c r="F219" s="67"/>
      <c r="G219" s="68"/>
      <c r="H219" s="69"/>
    </row>
    <row r="220" spans="5:8" x14ac:dyDescent="0.25">
      <c r="E220" s="91"/>
      <c r="F220" s="67"/>
      <c r="G220" s="68"/>
      <c r="H220" s="69"/>
    </row>
    <row r="221" spans="5:8" x14ac:dyDescent="0.25">
      <c r="E221" s="94"/>
      <c r="F221" s="95"/>
      <c r="G221" s="101"/>
      <c r="H221" s="102"/>
    </row>
    <row r="222" spans="5:8" x14ac:dyDescent="0.25">
      <c r="E222" s="91"/>
      <c r="F222" s="96"/>
      <c r="G222" s="97"/>
      <c r="H222" s="69"/>
    </row>
    <row r="223" spans="5:8" x14ac:dyDescent="0.25">
      <c r="E223" s="91"/>
      <c r="F223" s="96"/>
      <c r="G223" s="97"/>
      <c r="H223" s="69"/>
    </row>
    <row r="224" spans="5:8" x14ac:dyDescent="0.25">
      <c r="E224" s="91"/>
      <c r="F224" s="96"/>
      <c r="G224" s="97"/>
      <c r="H224" s="69"/>
    </row>
    <row r="225" spans="2:8" x14ac:dyDescent="0.25">
      <c r="E225" s="91"/>
      <c r="F225" s="67"/>
      <c r="G225" s="68"/>
      <c r="H225" s="69"/>
    </row>
    <row r="226" spans="2:8" x14ac:dyDescent="0.25">
      <c r="E226" s="91"/>
      <c r="F226" s="67"/>
      <c r="G226" s="68"/>
      <c r="H226" s="69"/>
    </row>
    <row r="227" spans="2:8" x14ac:dyDescent="0.25">
      <c r="E227" s="91"/>
      <c r="F227" s="67"/>
      <c r="G227" s="68"/>
      <c r="H227" s="69"/>
    </row>
    <row r="228" spans="2:8" x14ac:dyDescent="0.25">
      <c r="E228" s="90"/>
      <c r="F228" s="95"/>
      <c r="G228" s="101"/>
      <c r="H228" s="102"/>
    </row>
    <row r="229" spans="2:8" x14ac:dyDescent="0.25">
      <c r="E229" s="94"/>
      <c r="F229" s="95"/>
      <c r="G229" s="97"/>
      <c r="H229" s="69"/>
    </row>
    <row r="230" spans="2:8" x14ac:dyDescent="0.25">
      <c r="E230" s="94"/>
      <c r="F230" s="95"/>
      <c r="G230" s="101"/>
      <c r="H230" s="102"/>
    </row>
    <row r="231" spans="2:8" x14ac:dyDescent="0.25">
      <c r="E231" s="91"/>
      <c r="F231" s="96"/>
      <c r="G231" s="97"/>
      <c r="H231" s="69"/>
    </row>
    <row r="232" spans="2:8" x14ac:dyDescent="0.25">
      <c r="E232" s="91"/>
      <c r="F232" s="96"/>
      <c r="G232" s="97"/>
      <c r="H232" s="69"/>
    </row>
    <row r="233" spans="2:8" x14ac:dyDescent="0.25">
      <c r="B233" s="109"/>
      <c r="F233" s="110"/>
      <c r="G233" s="111"/>
    </row>
    <row r="234" spans="2:8" x14ac:dyDescent="0.25">
      <c r="B234" s="112"/>
      <c r="F234" s="113"/>
      <c r="G234" s="114"/>
    </row>
    <row r="235" spans="2:8" x14ac:dyDescent="0.25">
      <c r="E235" s="115"/>
      <c r="F235" s="116"/>
      <c r="G235" s="117"/>
    </row>
    <row r="236" spans="2:8" x14ac:dyDescent="0.25">
      <c r="E236" s="118"/>
      <c r="F236" s="116"/>
      <c r="G236" s="117"/>
    </row>
    <row r="237" spans="2:8" x14ac:dyDescent="0.25">
      <c r="E237" s="115"/>
      <c r="F237" s="116"/>
      <c r="G237" s="117"/>
    </row>
  </sheetData>
  <mergeCells count="8">
    <mergeCell ref="E211:H211"/>
    <mergeCell ref="E212:H212"/>
    <mergeCell ref="E115:H115"/>
    <mergeCell ref="E116:H116"/>
    <mergeCell ref="E135:H135"/>
    <mergeCell ref="E136:H136"/>
    <mergeCell ref="E190:H190"/>
    <mergeCell ref="E191:H191"/>
  </mergeCells>
  <hyperlinks>
    <hyperlink ref="T4" r:id="rId1" location="v=onepage&amp;q&amp;f=false" display="https://books.google.com.qa/books?id=Fn3SwUueZaAC&amp;pg=PA209&amp;lpg=PA209&amp;dq=shade+steel+structure+for+fish+farm&amp;source=bl&amp;ots=LGWRNy-A_k&amp;sig=ACfU3U1_c1AnyjzOeJypjOvBQpq3GcuBWQ&amp;hl=en&amp;sa=X&amp;ved=2ahUKEwizz5zxk4fpAhUaWX0KHR69CqYQ6AEwCnoECAoQAQ - v=onepage&amp;q&amp;f=false" xr:uid="{4987F081-33DB-4927-8737-E3B508553646}"/>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52E7-C39E-4185-84B6-F7B2B39D042A}">
  <dimension ref="A1:U35"/>
  <sheetViews>
    <sheetView zoomScale="80" zoomScaleNormal="70" workbookViewId="0">
      <selection activeCell="B11" sqref="B11"/>
    </sheetView>
  </sheetViews>
  <sheetFormatPr defaultRowHeight="15" x14ac:dyDescent="0.25"/>
  <cols>
    <col min="1" max="1" width="17.85546875" bestFit="1" customWidth="1"/>
    <col min="2" max="2" width="35.85546875" style="2" bestFit="1" customWidth="1"/>
    <col min="3" max="3" width="12.28515625" bestFit="1" customWidth="1"/>
    <col min="4" max="4" width="20.140625" bestFit="1" customWidth="1"/>
    <col min="5" max="5" width="41.7109375" bestFit="1" customWidth="1"/>
    <col min="6" max="6" width="18" bestFit="1" customWidth="1"/>
    <col min="7" max="7" width="21.5703125" bestFit="1" customWidth="1"/>
    <col min="8" max="8" width="14.42578125" bestFit="1" customWidth="1"/>
    <col min="9" max="9" width="15.5703125" bestFit="1" customWidth="1"/>
    <col min="10" max="10" width="20.42578125" bestFit="1" customWidth="1"/>
    <col min="11" max="11" width="23.140625" bestFit="1" customWidth="1"/>
    <col min="12" max="12" width="11.42578125" bestFit="1" customWidth="1"/>
    <col min="13" max="13" width="23.42578125" bestFit="1" customWidth="1"/>
    <col min="14" max="14" width="21" bestFit="1" customWidth="1"/>
    <col min="15" max="15" width="16.140625" bestFit="1" customWidth="1"/>
    <col min="16" max="16" width="14.28515625" bestFit="1" customWidth="1"/>
    <col min="17" max="17" width="15.85546875" bestFit="1" customWidth="1"/>
    <col min="18" max="18" width="17.140625" bestFit="1" customWidth="1"/>
    <col min="19" max="19" width="28.5703125" bestFit="1" customWidth="1"/>
    <col min="20" max="20" width="142.85546875" bestFit="1" customWidth="1"/>
    <col min="21" max="21" width="9.7109375" bestFit="1" customWidth="1"/>
  </cols>
  <sheetData>
    <row r="1" spans="1:21" x14ac:dyDescent="0.25">
      <c r="A1" s="119" t="s">
        <v>20</v>
      </c>
      <c r="B1" s="127" t="s">
        <v>0</v>
      </c>
      <c r="C1" s="119" t="s">
        <v>1</v>
      </c>
      <c r="D1" s="119" t="s">
        <v>5</v>
      </c>
      <c r="E1" s="119" t="s">
        <v>13</v>
      </c>
      <c r="F1" s="119" t="s">
        <v>2</v>
      </c>
      <c r="G1" s="119" t="s">
        <v>25</v>
      </c>
      <c r="H1" s="119" t="s">
        <v>9</v>
      </c>
      <c r="I1" s="119" t="s">
        <v>3</v>
      </c>
      <c r="J1" s="119" t="s">
        <v>4</v>
      </c>
      <c r="K1" s="119" t="s">
        <v>7</v>
      </c>
      <c r="L1" s="119" t="s">
        <v>6</v>
      </c>
      <c r="M1" s="119" t="s">
        <v>8</v>
      </c>
      <c r="N1" s="119" t="s">
        <v>10</v>
      </c>
      <c r="O1" s="119" t="s">
        <v>11</v>
      </c>
      <c r="P1" s="119" t="s">
        <v>12</v>
      </c>
      <c r="Q1" s="119" t="s">
        <v>16</v>
      </c>
      <c r="R1" s="119" t="s">
        <v>17</v>
      </c>
      <c r="S1" s="119" t="s">
        <v>18</v>
      </c>
      <c r="T1" s="119" t="s">
        <v>19</v>
      </c>
      <c r="U1" s="119" t="s">
        <v>35</v>
      </c>
    </row>
    <row r="2" spans="1:21" x14ac:dyDescent="0.25">
      <c r="A2" s="120"/>
      <c r="B2" s="24" t="s">
        <v>53</v>
      </c>
      <c r="C2" s="120"/>
      <c r="D2" s="120"/>
      <c r="E2" s="120"/>
      <c r="G2" s="120"/>
      <c r="H2" s="120"/>
      <c r="I2" s="121"/>
      <c r="J2" s="122"/>
      <c r="K2" s="120"/>
      <c r="L2" s="120"/>
      <c r="M2" s="120"/>
      <c r="N2" s="120"/>
      <c r="O2" s="120"/>
      <c r="P2" s="120"/>
      <c r="Q2" s="120"/>
      <c r="R2" s="120"/>
      <c r="S2" s="120"/>
      <c r="T2" s="120"/>
      <c r="U2" s="120"/>
    </row>
    <row r="3" spans="1:21" x14ac:dyDescent="0.25">
      <c r="A3" s="123"/>
      <c r="B3" s="129"/>
      <c r="C3" s="123"/>
      <c r="D3" s="123"/>
      <c r="E3" s="138" t="s">
        <v>59</v>
      </c>
      <c r="F3" s="145">
        <v>5000</v>
      </c>
      <c r="G3" s="123">
        <v>1</v>
      </c>
      <c r="H3" s="123">
        <v>10</v>
      </c>
      <c r="I3" s="125">
        <f>Table467[[#This Row],[Quantity]]*Table467[[#This Row],[Cost per unit ]]</f>
        <v>50000</v>
      </c>
      <c r="J3" s="126">
        <f>Table467[[#This Row],[unit per duration ]]</f>
        <v>1</v>
      </c>
      <c r="K3" s="123"/>
      <c r="L3" s="123"/>
      <c r="M3" s="123"/>
      <c r="N3" s="123"/>
      <c r="O3" s="123"/>
      <c r="P3" s="123"/>
      <c r="Q3" s="123"/>
      <c r="R3" s="123"/>
      <c r="S3" s="123"/>
      <c r="T3" s="123" t="s">
        <v>115</v>
      </c>
      <c r="U3" s="123"/>
    </row>
    <row r="4" spans="1:21" x14ac:dyDescent="0.25">
      <c r="A4" s="120"/>
      <c r="B4" s="129"/>
      <c r="C4" s="120"/>
      <c r="D4" s="120"/>
      <c r="E4" s="139" t="s">
        <v>56</v>
      </c>
      <c r="F4" s="174">
        <v>65</v>
      </c>
      <c r="G4" s="120">
        <v>10</v>
      </c>
      <c r="H4" s="175">
        <f>H3*10000/350</f>
        <v>285.71428571428572</v>
      </c>
      <c r="I4" s="8">
        <f>Table467[[#This Row],[Quantity]]*Table467[[#This Row],[Cost per unit ]]</f>
        <v>18571.428571428572</v>
      </c>
      <c r="J4" s="1">
        <f>Table467[[#This Row],[unit per duration ]]</f>
        <v>10</v>
      </c>
      <c r="K4" s="120"/>
      <c r="L4" s="120"/>
      <c r="M4" s="120"/>
      <c r="N4" s="120"/>
      <c r="O4" s="120"/>
      <c r="P4" s="120"/>
      <c r="Q4" s="120"/>
      <c r="R4" s="120"/>
      <c r="S4" s="120"/>
      <c r="T4" s="120" t="s">
        <v>118</v>
      </c>
      <c r="U4" s="120"/>
    </row>
    <row r="5" spans="1:21" x14ac:dyDescent="0.25">
      <c r="A5" s="123"/>
      <c r="B5" s="129"/>
      <c r="C5" s="123"/>
      <c r="D5" s="123"/>
      <c r="E5" s="2" t="s">
        <v>57</v>
      </c>
      <c r="F5" s="174">
        <v>452</v>
      </c>
      <c r="G5" s="123">
        <v>10</v>
      </c>
      <c r="H5" s="157">
        <f>H4</f>
        <v>285.71428571428572</v>
      </c>
      <c r="I5" s="125">
        <f>Table467[[#This Row],[Quantity]]*Table467[[#This Row],[Cost per unit ]]</f>
        <v>129142.85714285714</v>
      </c>
      <c r="J5" s="126">
        <f>Table467[[#This Row],[unit per duration ]]</f>
        <v>10</v>
      </c>
      <c r="K5" s="123"/>
      <c r="L5" s="123"/>
      <c r="M5" s="123"/>
      <c r="N5" s="123"/>
      <c r="O5" s="123"/>
      <c r="P5" s="123"/>
      <c r="Q5" s="123"/>
      <c r="R5" s="123"/>
      <c r="S5" s="123"/>
      <c r="T5" s="123" t="s">
        <v>117</v>
      </c>
      <c r="U5" s="123"/>
    </row>
    <row r="6" spans="1:21" x14ac:dyDescent="0.25">
      <c r="A6" s="120"/>
      <c r="B6" s="129"/>
      <c r="C6" s="120"/>
      <c r="D6" s="120"/>
      <c r="E6" s="2" t="s">
        <v>58</v>
      </c>
      <c r="F6" s="145">
        <v>3000</v>
      </c>
      <c r="G6" s="120">
        <v>1</v>
      </c>
      <c r="H6" s="120">
        <f>H3+10000/2000</f>
        <v>15</v>
      </c>
      <c r="I6" s="8">
        <f>Table467[[#This Row],[Quantity]]*Table467[[#This Row],[Cost per unit ]]</f>
        <v>45000</v>
      </c>
      <c r="J6" s="1">
        <f>Table467[[#This Row],[unit per duration ]]</f>
        <v>1</v>
      </c>
      <c r="K6" s="120"/>
      <c r="L6" s="120"/>
      <c r="M6" s="120"/>
      <c r="N6" s="120"/>
      <c r="O6" s="120"/>
      <c r="P6" s="120"/>
      <c r="Q6" s="120"/>
      <c r="R6" s="120"/>
      <c r="S6" s="120"/>
      <c r="T6" s="120" t="s">
        <v>116</v>
      </c>
      <c r="U6" s="120"/>
    </row>
    <row r="7" spans="1:21" x14ac:dyDescent="0.25">
      <c r="A7" s="123"/>
      <c r="B7" s="190" t="s">
        <v>54</v>
      </c>
      <c r="C7" s="123"/>
      <c r="D7" s="123"/>
      <c r="E7" s="124"/>
      <c r="F7" s="178">
        <f>SUM(F3:F6)</f>
        <v>8517</v>
      </c>
      <c r="G7" s="178">
        <f>SUM(G3:G6)</f>
        <v>22</v>
      </c>
      <c r="H7" s="178">
        <f>SUM(H3:H6)</f>
        <v>596.42857142857144</v>
      </c>
      <c r="I7" s="178">
        <f>SUM(I3:I6)</f>
        <v>242714.28571428574</v>
      </c>
      <c r="J7" s="178">
        <f>SUM(J3:J6)</f>
        <v>22</v>
      </c>
      <c r="K7" s="123"/>
      <c r="L7" s="123"/>
      <c r="M7" s="123"/>
      <c r="N7" s="123"/>
      <c r="O7" s="123"/>
      <c r="P7" s="123"/>
      <c r="Q7" s="123"/>
      <c r="R7" s="123"/>
      <c r="S7" s="123"/>
      <c r="T7" s="123"/>
      <c r="U7" s="123"/>
    </row>
    <row r="8" spans="1:21" x14ac:dyDescent="0.25">
      <c r="A8" s="123"/>
      <c r="B8" s="189"/>
      <c r="C8" s="1"/>
      <c r="D8" s="1"/>
      <c r="E8" s="21"/>
      <c r="G8" s="21"/>
      <c r="H8" s="23"/>
      <c r="I8" s="125"/>
      <c r="J8" s="126"/>
      <c r="K8" s="123"/>
      <c r="L8" s="123"/>
      <c r="M8" s="123"/>
      <c r="N8" s="123"/>
      <c r="O8" s="123"/>
      <c r="P8" s="123"/>
      <c r="Q8" s="123"/>
      <c r="R8" s="123"/>
      <c r="S8" s="123"/>
      <c r="T8" s="123"/>
      <c r="U8" s="123"/>
    </row>
    <row r="9" spans="1:21" x14ac:dyDescent="0.25">
      <c r="A9" s="123"/>
      <c r="B9" s="128" t="s">
        <v>55</v>
      </c>
      <c r="C9" s="123"/>
      <c r="D9" s="123"/>
      <c r="H9" s="67"/>
      <c r="I9" s="125"/>
      <c r="J9" s="126"/>
      <c r="K9" s="123"/>
      <c r="L9" s="123"/>
      <c r="M9" s="123"/>
      <c r="N9" s="123"/>
      <c r="O9" s="123"/>
      <c r="P9" s="123"/>
      <c r="Q9" s="123"/>
      <c r="R9" s="123"/>
      <c r="S9" s="123"/>
      <c r="T9" s="123"/>
      <c r="U9" s="123"/>
    </row>
    <row r="10" spans="1:21" x14ac:dyDescent="0.25">
      <c r="A10" s="123"/>
      <c r="B10" s="129"/>
      <c r="C10" s="123"/>
      <c r="D10" s="123"/>
      <c r="H10" s="67"/>
      <c r="I10" s="125"/>
      <c r="J10" s="126"/>
      <c r="K10" s="123"/>
      <c r="L10" s="123"/>
      <c r="M10" s="123"/>
      <c r="N10" s="123"/>
      <c r="O10" s="123"/>
      <c r="P10" s="123"/>
      <c r="Q10" s="123"/>
      <c r="R10" s="123"/>
      <c r="S10" s="123"/>
      <c r="T10" s="123"/>
      <c r="U10" s="123"/>
    </row>
    <row r="11" spans="1:21" x14ac:dyDescent="0.25">
      <c r="A11" s="123"/>
      <c r="C11" s="123"/>
      <c r="D11" s="123"/>
      <c r="H11" s="67"/>
      <c r="I11" s="125"/>
      <c r="J11" s="126"/>
      <c r="K11" s="123"/>
      <c r="L11" s="123"/>
      <c r="M11" s="123"/>
      <c r="N11" s="123"/>
      <c r="O11" s="123"/>
      <c r="P11" s="123"/>
      <c r="Q11" s="123"/>
      <c r="R11" s="123"/>
      <c r="S11" s="123"/>
      <c r="T11" s="123"/>
      <c r="U11" s="123"/>
    </row>
    <row r="14" spans="1:21" x14ac:dyDescent="0.25">
      <c r="B14" s="2" t="s">
        <v>179</v>
      </c>
      <c r="E14" s="2"/>
    </row>
    <row r="15" spans="1:21" x14ac:dyDescent="0.25">
      <c r="E15" s="2" t="s">
        <v>60</v>
      </c>
      <c r="H15">
        <v>40</v>
      </c>
      <c r="J15">
        <v>1</v>
      </c>
    </row>
    <row r="16" spans="1:21" x14ac:dyDescent="0.25">
      <c r="E16" s="2" t="s">
        <v>61</v>
      </c>
      <c r="H16">
        <v>40</v>
      </c>
      <c r="J16">
        <v>1</v>
      </c>
    </row>
    <row r="17" spans="2:10" x14ac:dyDescent="0.25">
      <c r="E17" s="2" t="s">
        <v>62</v>
      </c>
      <c r="H17">
        <v>40</v>
      </c>
      <c r="J17">
        <v>1</v>
      </c>
    </row>
    <row r="18" spans="2:10" x14ac:dyDescent="0.25">
      <c r="E18" s="2" t="s">
        <v>63</v>
      </c>
      <c r="H18">
        <v>40</v>
      </c>
      <c r="J18">
        <v>1</v>
      </c>
    </row>
    <row r="19" spans="2:10" x14ac:dyDescent="0.25">
      <c r="B19" s="2" t="s">
        <v>64</v>
      </c>
    </row>
    <row r="20" spans="2:10" x14ac:dyDescent="0.25">
      <c r="E20" s="2" t="s">
        <v>65</v>
      </c>
      <c r="H20">
        <v>40</v>
      </c>
      <c r="J20">
        <v>1</v>
      </c>
    </row>
    <row r="21" spans="2:10" x14ac:dyDescent="0.25">
      <c r="E21" s="2" t="s">
        <v>80</v>
      </c>
      <c r="H21">
        <v>40</v>
      </c>
      <c r="J21">
        <v>1</v>
      </c>
    </row>
    <row r="22" spans="2:10" x14ac:dyDescent="0.25">
      <c r="B22" s="2" t="s">
        <v>66</v>
      </c>
    </row>
    <row r="23" spans="2:10" x14ac:dyDescent="0.25">
      <c r="E23" s="2" t="s">
        <v>67</v>
      </c>
      <c r="H23">
        <v>40</v>
      </c>
      <c r="J23">
        <v>1</v>
      </c>
    </row>
    <row r="24" spans="2:10" x14ac:dyDescent="0.25">
      <c r="E24" s="2" t="s">
        <v>68</v>
      </c>
      <c r="H24">
        <v>40</v>
      </c>
      <c r="J24">
        <v>1</v>
      </c>
    </row>
    <row r="25" spans="2:10" x14ac:dyDescent="0.25">
      <c r="E25" s="2" t="s">
        <v>69</v>
      </c>
      <c r="H25">
        <v>40</v>
      </c>
      <c r="J25">
        <v>1</v>
      </c>
    </row>
    <row r="26" spans="2:10" x14ac:dyDescent="0.25">
      <c r="E26" s="2" t="s">
        <v>70</v>
      </c>
      <c r="H26">
        <v>40</v>
      </c>
      <c r="J26">
        <v>1</v>
      </c>
    </row>
    <row r="27" spans="2:10" x14ac:dyDescent="0.25">
      <c r="B27" s="2" t="s">
        <v>71</v>
      </c>
    </row>
    <row r="28" spans="2:10" x14ac:dyDescent="0.25">
      <c r="E28" s="2" t="s">
        <v>72</v>
      </c>
      <c r="H28">
        <v>40</v>
      </c>
      <c r="J28">
        <v>1</v>
      </c>
    </row>
    <row r="29" spans="2:10" x14ac:dyDescent="0.25">
      <c r="E29" s="2" t="s">
        <v>73</v>
      </c>
      <c r="H29">
        <v>40</v>
      </c>
      <c r="J29">
        <v>1</v>
      </c>
    </row>
    <row r="30" spans="2:10" x14ac:dyDescent="0.25">
      <c r="E30" s="2" t="s">
        <v>74</v>
      </c>
      <c r="H30">
        <v>40</v>
      </c>
      <c r="J30">
        <v>1</v>
      </c>
    </row>
    <row r="31" spans="2:10" x14ac:dyDescent="0.25">
      <c r="E31" s="2" t="s">
        <v>75</v>
      </c>
      <c r="H31">
        <v>40</v>
      </c>
      <c r="J31">
        <v>1</v>
      </c>
    </row>
    <row r="32" spans="2:10" x14ac:dyDescent="0.25">
      <c r="E32" s="2" t="s">
        <v>76</v>
      </c>
      <c r="H32">
        <v>40</v>
      </c>
      <c r="J32">
        <v>1</v>
      </c>
    </row>
    <row r="33" spans="5:10" x14ac:dyDescent="0.25">
      <c r="E33" s="2" t="s">
        <v>77</v>
      </c>
      <c r="H33">
        <v>40</v>
      </c>
      <c r="J33">
        <v>1</v>
      </c>
    </row>
    <row r="34" spans="5:10" x14ac:dyDescent="0.25">
      <c r="E34" s="2" t="s">
        <v>78</v>
      </c>
      <c r="H34">
        <v>40</v>
      </c>
      <c r="J34">
        <v>1</v>
      </c>
    </row>
    <row r="35" spans="5:10" x14ac:dyDescent="0.25">
      <c r="E35" s="2" t="s">
        <v>79</v>
      </c>
      <c r="H35">
        <v>40</v>
      </c>
      <c r="J35">
        <v>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6DD7-1467-43C2-92B0-033D436F15F2}">
  <dimension ref="A1:V60"/>
  <sheetViews>
    <sheetView zoomScale="62" zoomScaleNormal="145" workbookViewId="0">
      <selection activeCell="K52" sqref="K52"/>
    </sheetView>
  </sheetViews>
  <sheetFormatPr defaultRowHeight="15" x14ac:dyDescent="0.25"/>
  <cols>
    <col min="1" max="1" width="13.7109375" customWidth="1"/>
    <col min="2" max="2" width="45.7109375" style="2" bestFit="1" customWidth="1"/>
    <col min="3" max="3" width="10.5703125" bestFit="1" customWidth="1"/>
    <col min="4" max="4" width="15.5703125" customWidth="1"/>
    <col min="5" max="5" width="34.42578125" customWidth="1"/>
    <col min="6" max="6" width="18.28515625" bestFit="1" customWidth="1"/>
    <col min="7" max="7" width="23.42578125" bestFit="1" customWidth="1"/>
    <col min="8" max="9" width="10.140625" customWidth="1"/>
    <col min="10" max="10" width="14.42578125" bestFit="1" customWidth="1"/>
    <col min="11" max="11" width="16.42578125" customWidth="1"/>
    <col min="12" max="12" width="38.140625" bestFit="1" customWidth="1"/>
    <col min="14" max="14" width="19.140625" customWidth="1"/>
    <col min="15" max="15" width="20.28515625" bestFit="1" customWidth="1"/>
    <col min="16" max="16" width="12" customWidth="1"/>
    <col min="17" max="17" width="9.85546875" customWidth="1"/>
    <col min="18" max="18" width="11.5703125" customWidth="1"/>
    <col min="19" max="19" width="12.85546875" customWidth="1"/>
    <col min="20" max="20" width="24.28515625" customWidth="1"/>
    <col min="21" max="21" width="12" customWidth="1"/>
  </cols>
  <sheetData>
    <row r="1" spans="1:22" x14ac:dyDescent="0.25">
      <c r="A1" s="119" t="s">
        <v>20</v>
      </c>
      <c r="B1" s="127" t="s">
        <v>0</v>
      </c>
      <c r="C1" s="119" t="s">
        <v>1</v>
      </c>
      <c r="D1" s="119" t="s">
        <v>5</v>
      </c>
      <c r="E1" s="119" t="s">
        <v>13</v>
      </c>
      <c r="F1" s="119" t="s">
        <v>2</v>
      </c>
      <c r="G1" s="119" t="s">
        <v>25</v>
      </c>
      <c r="H1" s="119" t="s">
        <v>9</v>
      </c>
      <c r="I1" s="119" t="s">
        <v>93</v>
      </c>
      <c r="J1" s="119" t="s">
        <v>3</v>
      </c>
      <c r="K1" s="119" t="s">
        <v>4</v>
      </c>
      <c r="L1" s="119" t="s">
        <v>7</v>
      </c>
      <c r="M1" s="119" t="s">
        <v>6</v>
      </c>
      <c r="N1" s="119" t="s">
        <v>8</v>
      </c>
      <c r="O1" s="119" t="s">
        <v>10</v>
      </c>
      <c r="P1" s="119" t="s">
        <v>11</v>
      </c>
      <c r="Q1" s="119" t="s">
        <v>12</v>
      </c>
      <c r="R1" s="119" t="s">
        <v>16</v>
      </c>
      <c r="S1" s="119" t="s">
        <v>17</v>
      </c>
      <c r="T1" s="119" t="s">
        <v>18</v>
      </c>
      <c r="U1" s="119" t="s">
        <v>19</v>
      </c>
      <c r="V1" s="119" t="s">
        <v>35</v>
      </c>
    </row>
    <row r="2" spans="1:22" x14ac:dyDescent="0.25">
      <c r="A2" s="132"/>
      <c r="B2" s="24" t="s">
        <v>112</v>
      </c>
      <c r="C2" s="132"/>
      <c r="D2" s="132"/>
      <c r="E2" s="132"/>
      <c r="G2" s="132"/>
      <c r="H2" s="132"/>
      <c r="I2" s="132"/>
      <c r="J2" s="133"/>
      <c r="K2" s="1"/>
      <c r="L2" s="132"/>
      <c r="M2" s="132"/>
      <c r="N2" s="132"/>
      <c r="O2" s="132"/>
      <c r="P2" s="132"/>
      <c r="Q2" s="132"/>
      <c r="R2" s="132"/>
      <c r="S2" s="132"/>
      <c r="T2" s="132"/>
      <c r="U2" s="132"/>
      <c r="V2" s="132"/>
    </row>
    <row r="3" spans="1:22" x14ac:dyDescent="0.25">
      <c r="A3" s="1"/>
      <c r="C3" s="1"/>
      <c r="D3" s="1"/>
      <c r="E3" s="21" t="s">
        <v>36</v>
      </c>
      <c r="F3" s="152">
        <f>(52476.8/3722)/3.65</f>
        <v>3.8627634281171561</v>
      </c>
      <c r="G3" s="1">
        <v>10</v>
      </c>
      <c r="H3" s="1">
        <f t="shared" ref="H3:H24" si="0">H39*2.2</f>
        <v>0</v>
      </c>
      <c r="I3" s="153" t="s">
        <v>37</v>
      </c>
      <c r="J3" s="8">
        <f>Table4673[[#This Row],[Cost per unit ]]*Table4673[[#This Row],[Quantity]]</f>
        <v>0</v>
      </c>
      <c r="K3" s="9">
        <f>Table4673[[#This Row],[Quantity]]/Table4673[[#This Row],[unit per duration ]]</f>
        <v>0</v>
      </c>
      <c r="L3" s="1" t="s">
        <v>110</v>
      </c>
      <c r="M3" s="1"/>
      <c r="N3" s="1"/>
      <c r="O3" s="1"/>
      <c r="P3" s="1"/>
      <c r="Q3" s="1"/>
      <c r="R3" s="1"/>
      <c r="S3" s="1"/>
      <c r="T3" s="1"/>
      <c r="U3" s="1"/>
      <c r="V3" s="1"/>
    </row>
    <row r="4" spans="1:22" x14ac:dyDescent="0.25">
      <c r="A4" s="132"/>
      <c r="B4" s="134"/>
      <c r="C4" s="132"/>
      <c r="D4" s="132"/>
      <c r="E4" s="135" t="s">
        <v>94</v>
      </c>
      <c r="F4" s="151">
        <f>27.54/3.65</f>
        <v>7.5452054794520551</v>
      </c>
      <c r="G4" s="132">
        <v>43</v>
      </c>
      <c r="H4" s="1">
        <f t="shared" si="0"/>
        <v>0</v>
      </c>
      <c r="I4" s="153" t="s">
        <v>38</v>
      </c>
      <c r="J4" s="133">
        <f>Table4673[[#This Row],[Cost per unit ]]*Table4673[[#This Row],[Quantity]]</f>
        <v>0</v>
      </c>
      <c r="K4" s="9">
        <f>Table4673[[#This Row],[Quantity]]/Table4673[[#This Row],[unit per duration ]]</f>
        <v>0</v>
      </c>
      <c r="L4" s="132" t="s">
        <v>111</v>
      </c>
      <c r="M4" s="132"/>
      <c r="N4" s="132"/>
      <c r="O4" s="132"/>
      <c r="P4" s="132"/>
      <c r="Q4" s="132"/>
      <c r="R4" s="132"/>
      <c r="S4" s="132"/>
      <c r="T4" s="132"/>
      <c r="U4" s="132"/>
      <c r="V4" s="132"/>
    </row>
    <row r="5" spans="1:22" x14ac:dyDescent="0.25">
      <c r="A5" s="1"/>
      <c r="C5" s="1"/>
      <c r="D5" s="1"/>
      <c r="E5" s="22" t="s">
        <v>34</v>
      </c>
      <c r="F5" s="151">
        <f>41.51/3.65</f>
        <v>11.372602739726027</v>
      </c>
      <c r="G5" s="1">
        <v>43</v>
      </c>
      <c r="H5" s="1">
        <f t="shared" si="0"/>
        <v>0</v>
      </c>
      <c r="I5" s="153" t="s">
        <v>38</v>
      </c>
      <c r="J5" s="8">
        <f>Table4673[[#This Row],[Cost per unit ]]*Table4673[[#This Row],[Quantity]]</f>
        <v>0</v>
      </c>
      <c r="K5" s="9">
        <f>Table4673[[#This Row],[Quantity]]/Table4673[[#This Row],[unit per duration ]]</f>
        <v>0</v>
      </c>
      <c r="L5" s="1"/>
      <c r="M5" s="1"/>
      <c r="N5" s="1"/>
      <c r="O5" s="1"/>
      <c r="P5" s="1"/>
      <c r="Q5" s="1"/>
      <c r="R5" s="1"/>
      <c r="S5" s="1"/>
      <c r="T5" s="1"/>
      <c r="U5" s="1"/>
      <c r="V5" s="1"/>
    </row>
    <row r="6" spans="1:22" x14ac:dyDescent="0.25">
      <c r="A6" s="132"/>
      <c r="B6" s="134"/>
      <c r="C6" s="132"/>
      <c r="D6" s="132"/>
      <c r="E6" s="136" t="s">
        <v>95</v>
      </c>
      <c r="F6" s="151">
        <f>27.54/3.65</f>
        <v>7.5452054794520551</v>
      </c>
      <c r="G6" s="132">
        <v>43</v>
      </c>
      <c r="H6" s="1">
        <f t="shared" si="0"/>
        <v>0</v>
      </c>
      <c r="I6" s="153" t="s">
        <v>38</v>
      </c>
      <c r="J6" s="133">
        <f>Table4673[[#This Row],[Quantity]]*Table4673[[#This Row],[Cost per unit ]]</f>
        <v>0</v>
      </c>
      <c r="K6" s="9">
        <f>Table4673[[#This Row],[Quantity]]/Table4673[[#This Row],[unit per duration ]]</f>
        <v>0</v>
      </c>
      <c r="L6" s="132"/>
      <c r="M6" s="132"/>
      <c r="N6" s="132"/>
      <c r="O6" s="132"/>
      <c r="P6" s="132"/>
      <c r="Q6" s="132"/>
      <c r="R6" s="132"/>
      <c r="S6" s="132"/>
      <c r="T6" s="132"/>
      <c r="U6" s="132"/>
      <c r="V6" s="132"/>
    </row>
    <row r="7" spans="1:22" x14ac:dyDescent="0.25">
      <c r="A7" s="1"/>
      <c r="C7" s="1"/>
      <c r="D7" s="1"/>
      <c r="E7" s="21" t="s">
        <v>96</v>
      </c>
      <c r="F7" s="150">
        <f>2.49/3.65</f>
        <v>0.68219178082191789</v>
      </c>
      <c r="G7" s="1">
        <v>20</v>
      </c>
      <c r="H7" s="1">
        <f t="shared" si="0"/>
        <v>0</v>
      </c>
      <c r="I7" s="153" t="s">
        <v>37</v>
      </c>
      <c r="J7" s="8">
        <f>Table4673[[#This Row],[Cost per unit ]]*Table4673[[#This Row],[Quantity]]</f>
        <v>0</v>
      </c>
      <c r="K7" s="9">
        <f>Table4673[[#This Row],[Quantity]]/Table4673[[#This Row],[unit per duration ]]</f>
        <v>0</v>
      </c>
      <c r="L7" s="132" t="s">
        <v>111</v>
      </c>
      <c r="M7" s="1"/>
      <c r="N7" s="1"/>
      <c r="O7" s="1"/>
      <c r="P7" s="1"/>
      <c r="Q7" s="1"/>
      <c r="R7" s="1"/>
      <c r="S7" s="1"/>
      <c r="T7" s="1"/>
      <c r="U7" s="1"/>
      <c r="V7" s="1"/>
    </row>
    <row r="8" spans="1:22" hidden="1" x14ac:dyDescent="0.25">
      <c r="A8" s="1"/>
      <c r="C8" s="1"/>
      <c r="D8" s="1"/>
      <c r="E8" s="153" t="s">
        <v>51</v>
      </c>
      <c r="H8" s="1">
        <f t="shared" si="0"/>
        <v>0</v>
      </c>
      <c r="I8" s="153" t="s">
        <v>37</v>
      </c>
      <c r="J8" s="8"/>
      <c r="K8" s="9" t="e">
        <f>Table4673[[#This Row],[Quantity]]/Table4673[[#This Row],[unit per duration ]]</f>
        <v>#DIV/0!</v>
      </c>
      <c r="L8" s="1"/>
      <c r="M8" s="1"/>
      <c r="N8" s="1"/>
      <c r="O8" s="1"/>
      <c r="P8" s="1"/>
      <c r="Q8" s="1"/>
      <c r="R8" s="1"/>
      <c r="S8" s="1"/>
      <c r="T8" s="1"/>
      <c r="U8" s="1"/>
      <c r="V8" s="1"/>
    </row>
    <row r="9" spans="1:22" hidden="1" x14ac:dyDescent="0.25">
      <c r="A9" s="1"/>
      <c r="C9" s="1"/>
      <c r="D9" s="1"/>
      <c r="E9" s="153" t="s">
        <v>97</v>
      </c>
      <c r="H9" s="1">
        <f t="shared" si="0"/>
        <v>0</v>
      </c>
      <c r="I9" s="153" t="s">
        <v>38</v>
      </c>
      <c r="J9" s="8"/>
      <c r="K9" s="9" t="e">
        <f>Table4673[[#This Row],[Quantity]]/Table4673[[#This Row],[unit per duration ]]</f>
        <v>#DIV/0!</v>
      </c>
      <c r="L9" s="1"/>
      <c r="M9" s="1"/>
      <c r="N9" s="1"/>
      <c r="O9" s="1"/>
      <c r="P9" s="1"/>
      <c r="Q9" s="1"/>
      <c r="R9" s="1"/>
      <c r="S9" s="1"/>
      <c r="T9" s="1"/>
      <c r="U9" s="1"/>
      <c r="V9" s="1"/>
    </row>
    <row r="10" spans="1:22" hidden="1" x14ac:dyDescent="0.25">
      <c r="A10" s="1"/>
      <c r="C10" s="1"/>
      <c r="D10" s="1"/>
      <c r="E10" s="153" t="s">
        <v>52</v>
      </c>
      <c r="H10" s="1">
        <f t="shared" si="0"/>
        <v>0</v>
      </c>
      <c r="I10" s="153" t="s">
        <v>38</v>
      </c>
      <c r="J10" s="8"/>
      <c r="K10" s="9" t="e">
        <f>Table4673[[#This Row],[Quantity]]/Table4673[[#This Row],[unit per duration ]]</f>
        <v>#DIV/0!</v>
      </c>
      <c r="L10" s="1"/>
      <c r="M10" s="1"/>
      <c r="N10" s="1"/>
      <c r="O10" s="1"/>
      <c r="P10" s="1"/>
      <c r="Q10" s="1"/>
      <c r="R10" s="1"/>
      <c r="S10" s="1"/>
      <c r="T10" s="1"/>
      <c r="U10" s="1"/>
      <c r="V10" s="1"/>
    </row>
    <row r="11" spans="1:22" hidden="1" x14ac:dyDescent="0.25">
      <c r="A11" s="1"/>
      <c r="C11" s="1"/>
      <c r="D11" s="1"/>
      <c r="E11" s="153" t="s">
        <v>39</v>
      </c>
      <c r="H11" s="1">
        <f t="shared" si="0"/>
        <v>0</v>
      </c>
      <c r="I11" s="153" t="s">
        <v>38</v>
      </c>
      <c r="J11" s="8"/>
      <c r="K11" s="9" t="e">
        <f>Table4673[[#This Row],[Quantity]]/Table4673[[#This Row],[unit per duration ]]</f>
        <v>#DIV/0!</v>
      </c>
      <c r="L11" s="1"/>
      <c r="M11" s="1"/>
      <c r="N11" s="1"/>
      <c r="O11" s="1"/>
      <c r="P11" s="1"/>
      <c r="Q11" s="1"/>
      <c r="R11" s="1"/>
      <c r="S11" s="1"/>
      <c r="T11" s="1"/>
      <c r="U11" s="1"/>
      <c r="V11" s="1"/>
    </row>
    <row r="12" spans="1:22" hidden="1" x14ac:dyDescent="0.25">
      <c r="A12" s="1"/>
      <c r="C12" s="1"/>
      <c r="D12" s="1"/>
      <c r="E12" s="153" t="s">
        <v>40</v>
      </c>
      <c r="G12" s="148">
        <v>0.15</v>
      </c>
      <c r="H12" s="1">
        <f t="shared" si="0"/>
        <v>0</v>
      </c>
      <c r="I12" s="153" t="s">
        <v>38</v>
      </c>
      <c r="J12" s="8"/>
      <c r="K12" s="9">
        <f>Table4673[[#This Row],[Quantity]]/Table4673[[#This Row],[unit per duration ]]</f>
        <v>0</v>
      </c>
      <c r="L12" s="1"/>
      <c r="M12" s="1"/>
      <c r="N12" s="1"/>
      <c r="O12" s="1" t="s">
        <v>103</v>
      </c>
      <c r="P12" s="1"/>
      <c r="Q12" s="1"/>
      <c r="R12" s="1"/>
      <c r="S12" s="1"/>
      <c r="T12" s="1"/>
      <c r="U12" s="1"/>
      <c r="V12" s="1"/>
    </row>
    <row r="13" spans="1:22" x14ac:dyDescent="0.25">
      <c r="A13" s="1"/>
      <c r="C13" s="1"/>
      <c r="D13" s="1"/>
      <c r="E13" s="21" t="s">
        <v>101</v>
      </c>
      <c r="F13">
        <f>300*1.2</f>
        <v>360</v>
      </c>
      <c r="G13">
        <v>22</v>
      </c>
      <c r="H13" s="1">
        <f t="shared" si="0"/>
        <v>0</v>
      </c>
      <c r="I13" s="21" t="s">
        <v>38</v>
      </c>
      <c r="J13" s="8">
        <f>Table4673[[#This Row],[Quantity]]*Table4673[[#This Row],[Cost per unit ]]</f>
        <v>0</v>
      </c>
      <c r="K13" s="9">
        <f>Table4673[[#This Row],[Quantity]]/Table4673[[#This Row],[unit per duration ]]</f>
        <v>0</v>
      </c>
      <c r="L13" s="1"/>
      <c r="M13" s="1"/>
      <c r="N13" s="1"/>
      <c r="O13" s="1"/>
      <c r="P13" s="1"/>
      <c r="Q13" s="1"/>
      <c r="R13" s="1"/>
      <c r="S13" s="1"/>
      <c r="T13" s="1"/>
      <c r="U13" s="1"/>
      <c r="V13" s="1" t="s">
        <v>102</v>
      </c>
    </row>
    <row r="14" spans="1:22" x14ac:dyDescent="0.25">
      <c r="A14" s="1"/>
      <c r="C14" s="1"/>
      <c r="D14" s="1"/>
      <c r="E14" s="21" t="s">
        <v>100</v>
      </c>
      <c r="F14">
        <f>0.35*1.2</f>
        <v>0.42</v>
      </c>
      <c r="G14">
        <v>220</v>
      </c>
      <c r="H14" s="1">
        <f t="shared" si="0"/>
        <v>0</v>
      </c>
      <c r="I14" s="21" t="s">
        <v>41</v>
      </c>
      <c r="J14" s="8">
        <f>Table4673[[#This Row],[Cost per unit ]]*Table4673[[#This Row],[Quantity]]</f>
        <v>0</v>
      </c>
      <c r="K14" s="9">
        <f>Table4673[[#This Row],[Quantity]]/Table4673[[#This Row],[unit per duration ]]</f>
        <v>0</v>
      </c>
      <c r="L14" s="1" t="s">
        <v>114</v>
      </c>
      <c r="M14" s="1"/>
      <c r="N14" s="1"/>
      <c r="O14" s="1"/>
      <c r="P14" s="1"/>
      <c r="Q14" s="1"/>
      <c r="R14" s="1"/>
      <c r="S14" s="1"/>
      <c r="T14" s="1"/>
      <c r="U14" s="1"/>
      <c r="V14" s="1" t="s">
        <v>99</v>
      </c>
    </row>
    <row r="15" spans="1:22" x14ac:dyDescent="0.25">
      <c r="A15" s="123"/>
      <c r="B15" s="129"/>
      <c r="C15" s="123"/>
      <c r="D15" s="123"/>
      <c r="E15" s="21" t="s">
        <v>104</v>
      </c>
      <c r="F15" s="151">
        <f>3860/3.65</f>
        <v>1057.5342465753424</v>
      </c>
      <c r="G15">
        <v>22</v>
      </c>
      <c r="H15" s="1">
        <f t="shared" si="0"/>
        <v>0</v>
      </c>
      <c r="I15" s="153" t="s">
        <v>37</v>
      </c>
      <c r="J15" s="125">
        <f>Table4673[[#This Row],[Cost per unit ]]*Table4673[[#This Row],[Quantity]]</f>
        <v>0</v>
      </c>
      <c r="K15" s="9">
        <f>Table4673[[#This Row],[Quantity]]/Table4673[[#This Row],[unit per duration ]]</f>
        <v>0</v>
      </c>
      <c r="L15" s="1" t="s">
        <v>114</v>
      </c>
      <c r="M15" s="123"/>
      <c r="N15" s="123"/>
      <c r="O15" s="123"/>
      <c r="P15" s="123"/>
      <c r="Q15" s="123"/>
      <c r="R15" s="123"/>
      <c r="S15" s="123"/>
      <c r="T15" s="123"/>
      <c r="U15" s="123"/>
      <c r="V15" s="123"/>
    </row>
    <row r="16" spans="1:22" x14ac:dyDescent="0.25">
      <c r="A16" s="1"/>
      <c r="C16" s="1"/>
      <c r="D16" s="1"/>
      <c r="E16" s="22" t="s">
        <v>42</v>
      </c>
      <c r="F16" s="150">
        <f>650/3.65</f>
        <v>178.08219178082192</v>
      </c>
      <c r="G16">
        <v>22</v>
      </c>
      <c r="H16" s="1">
        <f t="shared" si="0"/>
        <v>0</v>
      </c>
      <c r="I16" s="21" t="s">
        <v>38</v>
      </c>
      <c r="J16" s="8">
        <f>Table4673[[#This Row],[Cost per unit ]]*Table4673[[#This Row],[Quantity]]</f>
        <v>0</v>
      </c>
      <c r="K16" s="9">
        <f>Table4673[[#This Row],[Quantity]]/Table4673[[#This Row],[unit per duration ]]</f>
        <v>0</v>
      </c>
      <c r="L16" s="1" t="s">
        <v>114</v>
      </c>
      <c r="M16" s="1"/>
      <c r="N16" s="1"/>
      <c r="O16" s="1"/>
      <c r="P16" s="1"/>
      <c r="Q16" s="1"/>
      <c r="R16" s="1"/>
      <c r="S16" s="1"/>
      <c r="T16" s="1"/>
      <c r="U16" s="1"/>
      <c r="V16" s="1"/>
    </row>
    <row r="17" spans="1:22" x14ac:dyDescent="0.25">
      <c r="A17" s="1"/>
      <c r="C17" s="1"/>
      <c r="D17" s="1"/>
      <c r="E17" s="22" t="s">
        <v>43</v>
      </c>
      <c r="F17" s="150">
        <f>612/3.65</f>
        <v>167.67123287671234</v>
      </c>
      <c r="G17">
        <v>22</v>
      </c>
      <c r="H17" s="1">
        <f t="shared" si="0"/>
        <v>0</v>
      </c>
      <c r="I17" s="22" t="s">
        <v>38</v>
      </c>
      <c r="J17" s="8">
        <f>Table4673[[#This Row],[Quantity]]*Table4673[[#This Row],[Cost per unit ]]</f>
        <v>0</v>
      </c>
      <c r="K17" s="9">
        <f>Table4673[[#This Row],[Quantity]]/Table4673[[#This Row],[unit per duration ]]</f>
        <v>0</v>
      </c>
      <c r="L17" s="1" t="s">
        <v>114</v>
      </c>
      <c r="M17" s="1"/>
      <c r="N17" s="1"/>
      <c r="O17" s="1"/>
      <c r="P17" s="1"/>
      <c r="Q17" s="1"/>
      <c r="R17" s="1"/>
      <c r="S17" s="1"/>
      <c r="T17" s="1"/>
      <c r="U17" s="1"/>
      <c r="V17" s="1"/>
    </row>
    <row r="18" spans="1:22" x14ac:dyDescent="0.25">
      <c r="A18" s="1"/>
      <c r="C18" s="1"/>
      <c r="D18" s="1"/>
      <c r="E18" s="22" t="s">
        <v>44</v>
      </c>
      <c r="F18" s="150">
        <f>650/3.65</f>
        <v>178.08219178082192</v>
      </c>
      <c r="G18">
        <v>22</v>
      </c>
      <c r="H18" s="1">
        <f t="shared" si="0"/>
        <v>0</v>
      </c>
      <c r="I18" s="22" t="s">
        <v>38</v>
      </c>
      <c r="J18" s="8">
        <f>Table4673[[#This Row],[Cost per unit ]]*Table4673[[#This Row],[Quantity]]</f>
        <v>0</v>
      </c>
      <c r="K18" s="9">
        <f>Table4673[[#This Row],[Quantity]]/Table4673[[#This Row],[unit per duration ]]</f>
        <v>0</v>
      </c>
      <c r="L18" s="1" t="s">
        <v>114</v>
      </c>
      <c r="M18" s="1"/>
      <c r="N18" s="1"/>
      <c r="O18" s="1"/>
      <c r="P18" s="1"/>
      <c r="Q18" s="1"/>
      <c r="R18" s="1"/>
      <c r="S18" s="1"/>
      <c r="T18" s="1"/>
      <c r="U18" s="1"/>
      <c r="V18" s="1"/>
    </row>
    <row r="19" spans="1:22" x14ac:dyDescent="0.25">
      <c r="A19" s="1"/>
      <c r="C19" s="1"/>
      <c r="D19" s="1"/>
      <c r="E19" s="22" t="s">
        <v>45</v>
      </c>
      <c r="F19" s="150">
        <f>582/3.65</f>
        <v>159.45205479452056</v>
      </c>
      <c r="G19">
        <v>22</v>
      </c>
      <c r="H19" s="1">
        <f t="shared" si="0"/>
        <v>0</v>
      </c>
      <c r="I19" s="22" t="s">
        <v>38</v>
      </c>
      <c r="J19" s="8">
        <f>Table4673[[#This Row],[Cost per unit ]]*Table4673[[#This Row],[Quantity]]</f>
        <v>0</v>
      </c>
      <c r="K19" s="9">
        <f>Table4673[[#This Row],[Quantity]]/Table4673[[#This Row],[unit per duration ]]</f>
        <v>0</v>
      </c>
      <c r="L19" s="1" t="s">
        <v>114</v>
      </c>
      <c r="M19" s="1"/>
      <c r="N19" s="1"/>
      <c r="O19" s="1"/>
      <c r="P19" s="1"/>
      <c r="Q19" s="1"/>
      <c r="R19" s="1"/>
      <c r="S19" s="1"/>
      <c r="T19" s="1"/>
      <c r="U19" s="1"/>
      <c r="V19" s="1"/>
    </row>
    <row r="20" spans="1:22" x14ac:dyDescent="0.25">
      <c r="A20" s="1"/>
      <c r="C20" s="1"/>
      <c r="D20" s="1"/>
      <c r="E20" s="22" t="s">
        <v>46</v>
      </c>
      <c r="F20" s="150">
        <f>692/3.65</f>
        <v>189.58904109589042</v>
      </c>
      <c r="G20">
        <v>22</v>
      </c>
      <c r="H20" s="1">
        <f t="shared" si="0"/>
        <v>0</v>
      </c>
      <c r="I20" s="22" t="s">
        <v>38</v>
      </c>
      <c r="J20" s="8">
        <f>Table4673[[#This Row],[Cost per unit ]]*Table4673[[#This Row],[Quantity]]</f>
        <v>0</v>
      </c>
      <c r="K20" s="9">
        <f>Table4673[[#This Row],[Quantity]]/Table4673[[#This Row],[unit per duration ]]</f>
        <v>0</v>
      </c>
      <c r="L20" s="1" t="s">
        <v>114</v>
      </c>
      <c r="M20" s="1"/>
      <c r="N20" s="1"/>
      <c r="O20" s="1"/>
      <c r="P20" s="1"/>
      <c r="Q20" s="1"/>
      <c r="R20" s="1"/>
      <c r="S20" s="1"/>
      <c r="T20" s="1"/>
      <c r="U20" s="1"/>
      <c r="V20" s="1"/>
    </row>
    <row r="21" spans="1:22" x14ac:dyDescent="0.25">
      <c r="A21" s="1"/>
      <c r="C21" s="1"/>
      <c r="D21" s="1"/>
      <c r="E21" s="22" t="s">
        <v>40</v>
      </c>
      <c r="F21" s="150">
        <f>692/3.65</f>
        <v>189.58904109589042</v>
      </c>
      <c r="G21">
        <v>22</v>
      </c>
      <c r="H21" s="1">
        <f t="shared" si="0"/>
        <v>0</v>
      </c>
      <c r="I21" s="22" t="s">
        <v>38</v>
      </c>
      <c r="J21" s="8">
        <f>Table4673[[#This Row],[Cost per unit ]]*Table4673[[#This Row],[Quantity]]</f>
        <v>0</v>
      </c>
      <c r="K21" s="9">
        <v>1</v>
      </c>
      <c r="L21" s="1" t="s">
        <v>114</v>
      </c>
      <c r="M21" s="1"/>
      <c r="N21" s="1"/>
      <c r="O21" s="1"/>
      <c r="P21" s="1"/>
      <c r="Q21" s="1"/>
      <c r="R21" s="1"/>
      <c r="S21" s="1"/>
      <c r="T21" s="1"/>
      <c r="U21" s="1"/>
      <c r="V21" s="1"/>
    </row>
    <row r="22" spans="1:22" x14ac:dyDescent="0.25">
      <c r="A22" s="1"/>
      <c r="C22" s="1"/>
      <c r="D22" s="1"/>
      <c r="E22" s="26" t="s">
        <v>47</v>
      </c>
      <c r="F22" s="149">
        <f>136/3.65</f>
        <v>37.260273972602739</v>
      </c>
      <c r="G22">
        <v>22</v>
      </c>
      <c r="H22" s="1">
        <f t="shared" si="0"/>
        <v>0</v>
      </c>
      <c r="I22" s="22" t="s">
        <v>37</v>
      </c>
      <c r="J22" s="8">
        <f>Table4673[[#This Row],[Cost per unit ]]*Table4673[[#This Row],[Quantity]]</f>
        <v>0</v>
      </c>
      <c r="K22" s="9">
        <f>Table4673[[#This Row],[Quantity]]/Table4673[[#This Row],[unit per duration ]]</f>
        <v>0</v>
      </c>
      <c r="L22" s="1" t="s">
        <v>114</v>
      </c>
      <c r="M22" s="1"/>
      <c r="N22" s="1"/>
      <c r="O22" s="1"/>
      <c r="P22" s="1"/>
      <c r="Q22" s="1"/>
      <c r="R22" s="1"/>
      <c r="S22" s="1"/>
      <c r="T22" s="1"/>
      <c r="U22" s="1"/>
      <c r="V22" s="1"/>
    </row>
    <row r="23" spans="1:22" x14ac:dyDescent="0.25">
      <c r="A23" s="1"/>
      <c r="C23" s="1"/>
      <c r="D23" s="1"/>
      <c r="E23" s="26" t="s">
        <v>48</v>
      </c>
      <c r="F23" s="149">
        <f>4.53/3.65</f>
        <v>1.241095890410959</v>
      </c>
      <c r="G23">
        <v>22</v>
      </c>
      <c r="H23" s="1">
        <f t="shared" si="0"/>
        <v>0</v>
      </c>
      <c r="I23" s="22" t="s">
        <v>37</v>
      </c>
      <c r="J23" s="8">
        <f>Table4673[[#This Row],[Cost per unit ]]*Table4673[[#This Row],[Quantity]]</f>
        <v>0</v>
      </c>
      <c r="K23" s="9">
        <f>Table4673[[#This Row],[Quantity]]/Table4673[[#This Row],[unit per duration ]]</f>
        <v>0</v>
      </c>
      <c r="L23" s="1" t="s">
        <v>114</v>
      </c>
      <c r="M23" s="1"/>
      <c r="N23" s="1"/>
      <c r="O23" s="1"/>
      <c r="P23" s="1"/>
      <c r="Q23" s="1"/>
      <c r="R23" s="1"/>
      <c r="S23" s="1"/>
      <c r="T23" s="1"/>
      <c r="U23" s="1"/>
      <c r="V23" s="1"/>
    </row>
    <row r="24" spans="1:22" x14ac:dyDescent="0.25">
      <c r="A24" s="1"/>
      <c r="C24" s="1"/>
      <c r="D24" s="1"/>
      <c r="E24" s="26" t="s">
        <v>49</v>
      </c>
      <c r="F24" s="149">
        <f>136/3.65</f>
        <v>37.260273972602739</v>
      </c>
      <c r="G24">
        <v>22</v>
      </c>
      <c r="H24" s="1">
        <f t="shared" si="0"/>
        <v>0</v>
      </c>
      <c r="I24" s="22" t="s">
        <v>37</v>
      </c>
      <c r="J24" s="8">
        <f>Table4673[[#This Row],[Cost per unit ]]*Table4673[[#This Row],[Quantity]]</f>
        <v>0</v>
      </c>
      <c r="K24" s="9">
        <f>Table4673[[#This Row],[Quantity]]/Table4673[[#This Row],[unit per duration ]]</f>
        <v>0</v>
      </c>
      <c r="L24" s="1" t="s">
        <v>114</v>
      </c>
      <c r="M24" s="1"/>
      <c r="N24" s="1"/>
      <c r="O24" s="1"/>
      <c r="P24" s="1"/>
      <c r="Q24" s="1"/>
      <c r="R24" s="1"/>
      <c r="S24" s="1"/>
      <c r="T24" s="1"/>
      <c r="U24" s="1"/>
      <c r="V24" s="1"/>
    </row>
    <row r="25" spans="1:22" x14ac:dyDescent="0.25">
      <c r="A25" s="123"/>
      <c r="B25" s="130" t="s">
        <v>98</v>
      </c>
      <c r="C25" s="123"/>
      <c r="D25" s="123"/>
      <c r="E25" s="147" t="s">
        <v>14</v>
      </c>
      <c r="F25" t="s">
        <v>14</v>
      </c>
      <c r="H25" t="s">
        <v>14</v>
      </c>
      <c r="I25" t="s">
        <v>14</v>
      </c>
      <c r="J25" s="125">
        <v>194775</v>
      </c>
      <c r="K25" s="9">
        <v>30</v>
      </c>
      <c r="L25" s="123"/>
      <c r="M25" s="123"/>
      <c r="N25" s="123"/>
      <c r="O25" s="123"/>
      <c r="P25" s="123"/>
      <c r="Q25" s="123"/>
      <c r="R25" s="123"/>
      <c r="S25" s="123"/>
      <c r="T25" s="123"/>
      <c r="U25" s="123"/>
      <c r="V25" s="123"/>
    </row>
    <row r="26" spans="1:22" x14ac:dyDescent="0.25">
      <c r="A26" s="1"/>
      <c r="B26" s="131" t="s">
        <v>50</v>
      </c>
      <c r="C26" s="1"/>
      <c r="D26" s="1"/>
      <c r="E26" s="1"/>
      <c r="H26" s="1"/>
      <c r="I26" s="1"/>
      <c r="J26" s="8">
        <f>SUM(J3:J24)</f>
        <v>0</v>
      </c>
      <c r="K26" s="8">
        <f>K3+K4+K5+K6+K7+K13+K14+K15+K16+K17+K18+K19+K20+K21+K22+K23+K24+K25</f>
        <v>31</v>
      </c>
      <c r="L26" s="1"/>
      <c r="M26" s="1"/>
      <c r="N26" s="1"/>
      <c r="O26" s="1"/>
      <c r="P26" s="1"/>
      <c r="Q26" s="1"/>
      <c r="R26" s="1"/>
      <c r="S26" s="1"/>
      <c r="T26" s="1"/>
      <c r="U26" s="1"/>
      <c r="V26" s="1"/>
    </row>
    <row r="27" spans="1:22" x14ac:dyDescent="0.25">
      <c r="A27" s="1"/>
      <c r="E27" s="39" t="s">
        <v>107</v>
      </c>
      <c r="F27" s="150">
        <f>245/3.65</f>
        <v>67.123287671232873</v>
      </c>
      <c r="G27">
        <v>2.5</v>
      </c>
      <c r="H27" s="40">
        <v>20</v>
      </c>
      <c r="I27" s="156" t="s">
        <v>37</v>
      </c>
      <c r="J27" s="8">
        <f>Table4673[[#This Row],[Quantity]]*Table4673[[#This Row],[Cost per unit ]]</f>
        <v>1342.4657534246576</v>
      </c>
      <c r="K27" s="1">
        <f>Table4673[[#This Row],[Quantity]]*Table4673[[#This Row],[unit per duration ]]</f>
        <v>50</v>
      </c>
      <c r="L27" s="1" t="s">
        <v>113</v>
      </c>
      <c r="M27" s="1"/>
      <c r="N27" s="1"/>
      <c r="O27" s="1"/>
      <c r="P27" s="1"/>
      <c r="Q27" s="1"/>
      <c r="R27" s="1"/>
      <c r="S27" s="1"/>
      <c r="T27" s="1"/>
      <c r="U27" s="1"/>
      <c r="V27" s="1"/>
    </row>
    <row r="28" spans="1:22" x14ac:dyDescent="0.25">
      <c r="A28" s="1"/>
      <c r="E28" s="25" t="s">
        <v>166</v>
      </c>
      <c r="F28" s="150">
        <f>2500*20/3.65</f>
        <v>13698.630136986301</v>
      </c>
      <c r="G28">
        <v>1</v>
      </c>
      <c r="H28" s="72">
        <v>1</v>
      </c>
      <c r="I28" s="73" t="s">
        <v>93</v>
      </c>
      <c r="J28" s="8">
        <f>F28*Table4673[[#This Row],[Quantity]]</f>
        <v>13698.630136986301</v>
      </c>
      <c r="K28" s="1">
        <f>Table4673[[#This Row],[unit per duration ]]</f>
        <v>1</v>
      </c>
      <c r="L28" s="1" t="s">
        <v>113</v>
      </c>
      <c r="M28" s="1"/>
      <c r="N28" s="1"/>
      <c r="O28" s="1"/>
      <c r="P28" s="1"/>
      <c r="Q28" s="1"/>
      <c r="R28" s="1"/>
      <c r="S28" s="1"/>
      <c r="T28" s="1"/>
      <c r="U28" s="1"/>
      <c r="V28" s="1"/>
    </row>
    <row r="29" spans="1:22" x14ac:dyDescent="0.25">
      <c r="A29" s="1"/>
      <c r="E29" s="25" t="s">
        <v>167</v>
      </c>
      <c r="F29" s="150">
        <f>4311*5/3.65</f>
        <v>5905.4794520547948</v>
      </c>
      <c r="G29">
        <v>1</v>
      </c>
      <c r="H29" s="137">
        <v>2</v>
      </c>
      <c r="I29" s="155" t="s">
        <v>93</v>
      </c>
      <c r="J29" s="8">
        <f>Table4673[[#This Row],[Cost per unit ]]*Table4673[[#This Row],[Quantity]]</f>
        <v>11810.95890410959</v>
      </c>
      <c r="K29" s="1">
        <f>Table4673[[#This Row],[unit per duration ]]*Table4673[[#This Row],[Quantity]]</f>
        <v>2</v>
      </c>
      <c r="L29" s="1" t="s">
        <v>113</v>
      </c>
      <c r="M29" s="1"/>
      <c r="N29" s="1"/>
      <c r="O29" s="1"/>
      <c r="P29" s="1"/>
      <c r="Q29" s="1"/>
      <c r="R29" s="1"/>
      <c r="S29" s="1"/>
      <c r="T29" s="1"/>
      <c r="U29" s="1"/>
      <c r="V29" s="12" t="s">
        <v>105</v>
      </c>
    </row>
    <row r="30" spans="1:22" x14ac:dyDescent="0.25">
      <c r="B30" s="2" t="s">
        <v>81</v>
      </c>
      <c r="J30" s="125">
        <f>SUM(J27:J29)</f>
        <v>26852.054794520547</v>
      </c>
      <c r="K30" s="125">
        <f>SUM(K27:K29)</f>
        <v>53</v>
      </c>
      <c r="L30" s="1"/>
    </row>
    <row r="31" spans="1:22" x14ac:dyDescent="0.25">
      <c r="A31" s="123"/>
      <c r="B31" s="129"/>
      <c r="C31" s="123"/>
      <c r="D31" s="123"/>
      <c r="E31" s="129" t="s">
        <v>82</v>
      </c>
      <c r="F31" s="142">
        <f>350*1.2</f>
        <v>420</v>
      </c>
      <c r="G31" s="140">
        <f>4+4</f>
        <v>8</v>
      </c>
      <c r="H31" s="67">
        <v>3</v>
      </c>
      <c r="I31" s="155" t="s">
        <v>93</v>
      </c>
      <c r="J31" s="141">
        <f>Table4673[[#This Row],[Quantity]]*Table4673[[#This Row],[Cost per unit ]]</f>
        <v>1260</v>
      </c>
      <c r="K31" s="157">
        <f>Table4673[[#This Row],[Quantity]]*Table4673[[#This Row],[unit per duration ]]/10</f>
        <v>2.4</v>
      </c>
      <c r="L31" s="1" t="s">
        <v>113</v>
      </c>
      <c r="M31" s="123"/>
      <c r="N31" s="123"/>
      <c r="O31" s="123"/>
      <c r="P31" s="123"/>
      <c r="Q31" s="123"/>
      <c r="R31" s="123"/>
      <c r="S31" s="123"/>
      <c r="T31" s="123"/>
      <c r="U31" s="123"/>
      <c r="V31" s="12" t="s">
        <v>88</v>
      </c>
    </row>
    <row r="32" spans="1:22" x14ac:dyDescent="0.25">
      <c r="A32" s="123"/>
      <c r="B32" s="129"/>
      <c r="C32" s="123"/>
      <c r="D32" s="123"/>
      <c r="E32" s="129" t="s">
        <v>83</v>
      </c>
      <c r="F32" s="142">
        <f>124005*1.2</f>
        <v>148806</v>
      </c>
      <c r="G32" s="140">
        <f t="shared" ref="G32:G35" si="1">4+4</f>
        <v>8</v>
      </c>
      <c r="H32" s="67">
        <v>1</v>
      </c>
      <c r="I32" s="155" t="s">
        <v>93</v>
      </c>
      <c r="J32" s="125">
        <f>Table4673[[#This Row],[Cost per unit ]]*Table4673[[#This Row],[Quantity]]</f>
        <v>148806</v>
      </c>
      <c r="K32" s="157">
        <f>Table4673[[#This Row],[Quantity]]*Table4673[[#This Row],[unit per duration ]]/10</f>
        <v>0.8</v>
      </c>
      <c r="L32" s="1" t="s">
        <v>113</v>
      </c>
      <c r="M32" s="123"/>
      <c r="N32" s="123"/>
      <c r="O32" s="123"/>
      <c r="P32" s="123"/>
      <c r="Q32" s="123"/>
      <c r="R32" s="123"/>
      <c r="S32" s="123"/>
      <c r="T32" s="123"/>
      <c r="U32" s="123"/>
      <c r="V32" s="12" t="s">
        <v>87</v>
      </c>
    </row>
    <row r="33" spans="1:22" x14ac:dyDescent="0.25">
      <c r="A33" s="123"/>
      <c r="B33" s="129"/>
      <c r="C33" s="123"/>
      <c r="D33" s="123"/>
      <c r="E33" s="129" t="s">
        <v>89</v>
      </c>
      <c r="F33" s="143">
        <f>1650*1.2</f>
        <v>1980</v>
      </c>
      <c r="G33" s="140">
        <f t="shared" si="1"/>
        <v>8</v>
      </c>
      <c r="H33" s="67">
        <v>1</v>
      </c>
      <c r="I33" s="155" t="s">
        <v>93</v>
      </c>
      <c r="J33" s="125">
        <f>Table4673[[#This Row],[Cost per unit ]]*Table4673[[#This Row],[Quantity]]</f>
        <v>1980</v>
      </c>
      <c r="K33" s="157">
        <f>Table4673[[#This Row],[Quantity]]*Table4673[[#This Row],[unit per duration ]]/10</f>
        <v>0.8</v>
      </c>
      <c r="L33" s="1" t="s">
        <v>113</v>
      </c>
      <c r="M33" s="123"/>
      <c r="N33" s="123"/>
      <c r="O33" s="123"/>
      <c r="P33" s="123"/>
      <c r="Q33" s="123"/>
      <c r="R33" s="123"/>
      <c r="S33" s="123"/>
      <c r="T33" s="123"/>
      <c r="U33" s="123"/>
      <c r="V33" s="12" t="s">
        <v>90</v>
      </c>
    </row>
    <row r="34" spans="1:22" x14ac:dyDescent="0.25">
      <c r="A34" s="123"/>
      <c r="B34" s="129" t="s">
        <v>84</v>
      </c>
      <c r="C34" s="123"/>
      <c r="D34" s="123"/>
      <c r="H34" s="67"/>
      <c r="I34" s="146"/>
      <c r="J34" s="141">
        <f>SUM(J31:J33)</f>
        <v>152046</v>
      </c>
      <c r="K34" s="141">
        <f>SUM(K31:K33)</f>
        <v>4</v>
      </c>
      <c r="L34" s="1"/>
      <c r="M34" s="123"/>
      <c r="N34" s="123"/>
      <c r="O34" s="123"/>
      <c r="P34" s="123"/>
      <c r="Q34" s="123"/>
      <c r="R34" s="123"/>
      <c r="S34" s="123"/>
      <c r="T34" s="123"/>
      <c r="U34" s="123"/>
      <c r="V34" s="123"/>
    </row>
    <row r="35" spans="1:22" x14ac:dyDescent="0.25">
      <c r="A35" s="123"/>
      <c r="B35" s="129"/>
      <c r="C35" s="123"/>
      <c r="D35" s="123"/>
      <c r="E35" s="129" t="s">
        <v>85</v>
      </c>
      <c r="F35" s="144">
        <f>1.5*1.2</f>
        <v>1.7999999999999998</v>
      </c>
      <c r="G35" s="140">
        <f t="shared" si="1"/>
        <v>8</v>
      </c>
      <c r="H35" s="67">
        <v>8000</v>
      </c>
      <c r="I35" s="155" t="s">
        <v>41</v>
      </c>
      <c r="J35" s="125">
        <f>Table4673[[#This Row],[Quantity]]*Table4673[[#This Row],[Cost per unit ]]</f>
        <v>14399.999999999998</v>
      </c>
      <c r="K35" s="126">
        <v>2</v>
      </c>
      <c r="L35" s="1" t="s">
        <v>113</v>
      </c>
      <c r="M35" s="123"/>
      <c r="N35" s="123"/>
      <c r="O35" s="123"/>
      <c r="P35" s="123"/>
      <c r="Q35" s="123"/>
      <c r="R35" s="123"/>
      <c r="S35" s="123"/>
      <c r="T35" s="123"/>
      <c r="U35" s="123"/>
      <c r="V35" s="12" t="s">
        <v>91</v>
      </c>
    </row>
    <row r="36" spans="1:22" x14ac:dyDescent="0.25">
      <c r="A36" s="123"/>
      <c r="B36" s="129"/>
      <c r="C36" s="123"/>
      <c r="D36" s="123"/>
      <c r="E36" s="129" t="s">
        <v>86</v>
      </c>
      <c r="F36" s="145">
        <f>2500*1.2</f>
        <v>3000</v>
      </c>
      <c r="G36" s="140">
        <f>4+4</f>
        <v>8</v>
      </c>
      <c r="H36" s="67">
        <v>2</v>
      </c>
      <c r="I36" s="146" t="s">
        <v>93</v>
      </c>
      <c r="J36" s="125">
        <f>Table4673[[#This Row],[Cost per unit ]]*Table4673[[#This Row],[Quantity]]</f>
        <v>6000</v>
      </c>
      <c r="K36" s="126">
        <v>1</v>
      </c>
      <c r="L36" s="1" t="s">
        <v>113</v>
      </c>
      <c r="M36" s="123"/>
      <c r="N36" s="123"/>
      <c r="O36" s="123"/>
      <c r="P36" s="123"/>
      <c r="Q36" s="123"/>
      <c r="R36" s="123"/>
      <c r="S36" s="123"/>
      <c r="T36" s="123"/>
      <c r="U36" s="123"/>
      <c r="V36" s="12" t="s">
        <v>92</v>
      </c>
    </row>
    <row r="37" spans="1:22" x14ac:dyDescent="0.25">
      <c r="A37" s="123"/>
      <c r="B37" s="129"/>
      <c r="C37" s="123"/>
      <c r="D37" s="123"/>
      <c r="H37" s="67"/>
      <c r="I37" s="179"/>
      <c r="J37" s="125">
        <f>SUM(J35:J36)</f>
        <v>20400</v>
      </c>
      <c r="K37" s="125">
        <f>SUM(K35:K36)</f>
        <v>3</v>
      </c>
      <c r="L37" s="123"/>
      <c r="M37" s="123"/>
      <c r="N37" s="123"/>
      <c r="O37" s="123"/>
      <c r="P37" s="123"/>
      <c r="Q37" s="123"/>
      <c r="R37" s="123"/>
      <c r="S37" s="123"/>
      <c r="T37" s="123"/>
      <c r="U37" s="123"/>
      <c r="V37" s="123"/>
    </row>
    <row r="39" spans="1:22" x14ac:dyDescent="0.25">
      <c r="H39" s="1"/>
    </row>
    <row r="40" spans="1:22" x14ac:dyDescent="0.25">
      <c r="H40" s="132"/>
    </row>
    <row r="41" spans="1:22" x14ac:dyDescent="0.25">
      <c r="H41" s="132"/>
    </row>
    <row r="42" spans="1:22" x14ac:dyDescent="0.25">
      <c r="H42" s="132"/>
    </row>
    <row r="43" spans="1:22" x14ac:dyDescent="0.25">
      <c r="H43" s="1"/>
    </row>
    <row r="44" spans="1:22" x14ac:dyDescent="0.25">
      <c r="H44" s="154"/>
    </row>
    <row r="45" spans="1:22" x14ac:dyDescent="0.25">
      <c r="H45" s="154"/>
    </row>
    <row r="46" spans="1:22" x14ac:dyDescent="0.25">
      <c r="H46" s="154"/>
    </row>
    <row r="47" spans="1:22" x14ac:dyDescent="0.25">
      <c r="H47" s="154"/>
    </row>
    <row r="48" spans="1:22" x14ac:dyDescent="0.25">
      <c r="H48" s="154"/>
    </row>
    <row r="49" spans="8:8" x14ac:dyDescent="0.25">
      <c r="H49" s="171"/>
    </row>
    <row r="50" spans="8:8" x14ac:dyDescent="0.25">
      <c r="H50" s="154"/>
    </row>
    <row r="51" spans="8:8" x14ac:dyDescent="0.25">
      <c r="H51" s="172"/>
    </row>
    <row r="52" spans="8:8" x14ac:dyDescent="0.25">
      <c r="H52" s="154"/>
    </row>
    <row r="53" spans="8:8" x14ac:dyDescent="0.25">
      <c r="H53" s="173"/>
    </row>
    <row r="54" spans="8:8" x14ac:dyDescent="0.25">
      <c r="H54" s="161"/>
    </row>
    <row r="55" spans="8:8" x14ac:dyDescent="0.25">
      <c r="H55" s="173"/>
    </row>
    <row r="56" spans="8:8" x14ac:dyDescent="0.25">
      <c r="H56" s="161"/>
    </row>
    <row r="57" spans="8:8" x14ac:dyDescent="0.25">
      <c r="H57" s="173"/>
    </row>
    <row r="58" spans="8:8" x14ac:dyDescent="0.25">
      <c r="H58" s="154"/>
    </row>
    <row r="59" spans="8:8" x14ac:dyDescent="0.25">
      <c r="H59" s="171"/>
    </row>
    <row r="60" spans="8:8" x14ac:dyDescent="0.25">
      <c r="H60" s="154"/>
    </row>
  </sheetData>
  <hyperlinks>
    <hyperlink ref="V32" r:id="rId1" xr:uid="{BA97E897-F49F-4578-A69D-59BCBF1D3EA2}"/>
    <hyperlink ref="V31" r:id="rId2" xr:uid="{7EB336E4-D730-4738-8AB8-B591F492C426}"/>
    <hyperlink ref="V33" r:id="rId3" xr:uid="{1C44DC6D-D7AA-4D96-BA2F-BBABD7619743}"/>
    <hyperlink ref="V35" r:id="rId4" xr:uid="{8D1709F8-AB5B-423E-AAB3-C6E1457DC34C}"/>
    <hyperlink ref="V36" r:id="rId5" xr:uid="{DB3B4737-1536-4AE5-8598-F604B6693DBB}"/>
    <hyperlink ref="V29" r:id="rId6" xr:uid="{FC62CE0B-12F7-4A15-98FC-089CEB6EF0AD}"/>
  </hyperlinks>
  <pageMargins left="0.7" right="0.7" top="0.75" bottom="0.75" header="0.3" footer="0.3"/>
  <pageSetup orientation="portrait" r:id="rId7"/>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20F4B-A663-45BF-A144-6D397DA1DABE}">
  <dimension ref="A1:V31"/>
  <sheetViews>
    <sheetView zoomScale="88" zoomScaleNormal="145" workbookViewId="0">
      <selection activeCell="F36" sqref="F36"/>
    </sheetView>
  </sheetViews>
  <sheetFormatPr defaultRowHeight="15" x14ac:dyDescent="0.25"/>
  <cols>
    <col min="1" max="1" width="13.7109375" customWidth="1"/>
    <col min="2" max="2" width="45.7109375" style="2" bestFit="1" customWidth="1"/>
    <col min="3" max="3" width="10.5703125" bestFit="1" customWidth="1"/>
    <col min="4" max="4" width="15.5703125" customWidth="1"/>
    <col min="5" max="5" width="34.42578125" customWidth="1"/>
    <col min="6" max="6" width="18.28515625" bestFit="1" customWidth="1"/>
    <col min="7" max="7" width="23.42578125" bestFit="1" customWidth="1"/>
    <col min="8" max="9" width="10.140625" customWidth="1"/>
    <col min="10" max="10" width="15.140625" bestFit="1" customWidth="1"/>
    <col min="11" max="11" width="19.85546875" customWidth="1"/>
    <col min="12" max="12" width="28.28515625" bestFit="1" customWidth="1"/>
    <col min="14" max="14" width="19.140625" customWidth="1"/>
    <col min="15" max="15" width="20.5703125" bestFit="1" customWidth="1"/>
    <col min="16" max="16" width="12" customWidth="1"/>
    <col min="17" max="17" width="9.85546875" customWidth="1"/>
    <col min="18" max="18" width="11.5703125" customWidth="1"/>
    <col min="19" max="19" width="12.85546875" customWidth="1"/>
    <col min="20" max="20" width="24.28515625" customWidth="1"/>
    <col min="21" max="21" width="12" customWidth="1"/>
  </cols>
  <sheetData>
    <row r="1" spans="1:22" x14ac:dyDescent="0.25">
      <c r="A1" s="119" t="s">
        <v>20</v>
      </c>
      <c r="B1" s="127" t="s">
        <v>0</v>
      </c>
      <c r="C1" s="119" t="s">
        <v>1</v>
      </c>
      <c r="D1" s="119" t="s">
        <v>5</v>
      </c>
      <c r="E1" s="119" t="s">
        <v>13</v>
      </c>
      <c r="F1" s="119" t="s">
        <v>2</v>
      </c>
      <c r="G1" s="119" t="s">
        <v>25</v>
      </c>
      <c r="H1" s="119" t="s">
        <v>9</v>
      </c>
      <c r="I1" s="119" t="s">
        <v>93</v>
      </c>
      <c r="J1" s="119" t="s">
        <v>3</v>
      </c>
      <c r="K1" s="119" t="s">
        <v>4</v>
      </c>
      <c r="L1" s="119" t="s">
        <v>7</v>
      </c>
      <c r="M1" s="119" t="s">
        <v>6</v>
      </c>
      <c r="N1" s="119" t="s">
        <v>8</v>
      </c>
      <c r="O1" s="119" t="s">
        <v>10</v>
      </c>
      <c r="P1" s="119" t="s">
        <v>11</v>
      </c>
      <c r="Q1" s="119" t="s">
        <v>12</v>
      </c>
      <c r="R1" s="119" t="s">
        <v>16</v>
      </c>
      <c r="S1" s="119" t="s">
        <v>17</v>
      </c>
      <c r="T1" s="119" t="s">
        <v>18</v>
      </c>
      <c r="U1" s="119" t="s">
        <v>19</v>
      </c>
      <c r="V1" s="119" t="s">
        <v>35</v>
      </c>
    </row>
    <row r="2" spans="1:22" x14ac:dyDescent="0.25">
      <c r="A2" s="132"/>
      <c r="B2" s="170" t="s">
        <v>112</v>
      </c>
      <c r="C2" s="132"/>
      <c r="D2" s="132"/>
      <c r="E2" s="132"/>
      <c r="G2" s="132"/>
      <c r="H2" s="132"/>
      <c r="I2" s="132"/>
      <c r="J2" s="133"/>
      <c r="K2" s="1"/>
      <c r="L2" s="132"/>
      <c r="M2" s="132"/>
      <c r="N2" s="132"/>
      <c r="O2" s="132"/>
      <c r="P2" s="132"/>
      <c r="Q2" s="132"/>
      <c r="R2" s="132"/>
      <c r="S2" s="132"/>
      <c r="T2" s="132"/>
      <c r="U2" s="132"/>
      <c r="V2" s="132"/>
    </row>
    <row r="3" spans="1:22" x14ac:dyDescent="0.25">
      <c r="A3" s="1"/>
      <c r="C3" s="1"/>
      <c r="D3" s="1"/>
      <c r="E3" s="153" t="s">
        <v>36</v>
      </c>
      <c r="F3" s="152">
        <f>(52476.8/3722)/3.65</f>
        <v>3.8627634281171561</v>
      </c>
      <c r="G3" s="1">
        <v>1</v>
      </c>
      <c r="H3" s="1">
        <f>H8*1.2</f>
        <v>204</v>
      </c>
      <c r="I3" s="153" t="s">
        <v>37</v>
      </c>
      <c r="J3" s="8">
        <f>Table46734[[#This Row],[Cost per unit ]]*Table46734[[#This Row],[Quantity]]</f>
        <v>788.00373933589981</v>
      </c>
      <c r="K3" s="9">
        <f>Table46734[[#This Row],[Quantity]]*Table46734[[#This Row],[unit per duration ]]</f>
        <v>204</v>
      </c>
      <c r="L3" s="1" t="s">
        <v>110</v>
      </c>
      <c r="M3" s="1"/>
      <c r="N3" s="1"/>
      <c r="O3" s="1"/>
      <c r="P3" s="1"/>
      <c r="Q3" s="1"/>
      <c r="R3" s="1"/>
      <c r="S3" s="1"/>
      <c r="T3" s="1"/>
      <c r="U3" s="1"/>
      <c r="V3" s="1"/>
    </row>
    <row r="4" spans="1:22" x14ac:dyDescent="0.25">
      <c r="A4" s="132"/>
      <c r="B4" s="134"/>
      <c r="C4" s="132"/>
      <c r="D4" s="132"/>
      <c r="E4" s="158" t="s">
        <v>94</v>
      </c>
      <c r="F4" s="151">
        <f>27.54/3.65</f>
        <v>7.5452054794520551</v>
      </c>
      <c r="G4" s="132">
        <v>43</v>
      </c>
      <c r="H4" s="132">
        <f>H3*1.5</f>
        <v>306</v>
      </c>
      <c r="I4" s="153" t="s">
        <v>38</v>
      </c>
      <c r="J4" s="133">
        <f>Table46734[[#This Row],[Cost per unit ]]*Table46734[[#This Row],[Quantity]]</f>
        <v>2308.8328767123289</v>
      </c>
      <c r="K4" s="9">
        <f>Table46734[[#This Row],[Quantity]]/Table46734[[#This Row],[unit per duration ]]</f>
        <v>7.1162790697674421</v>
      </c>
      <c r="L4" s="132" t="s">
        <v>111</v>
      </c>
      <c r="M4" s="132"/>
      <c r="N4" s="132"/>
      <c r="O4" s="132"/>
      <c r="P4" s="132"/>
      <c r="Q4" s="132"/>
      <c r="R4" s="132"/>
      <c r="S4" s="132"/>
      <c r="T4" s="132"/>
      <c r="U4" s="132"/>
      <c r="V4" s="132"/>
    </row>
    <row r="5" spans="1:22" x14ac:dyDescent="0.25">
      <c r="A5" s="1"/>
      <c r="C5" s="1"/>
      <c r="D5" s="1"/>
      <c r="E5" s="156" t="s">
        <v>34</v>
      </c>
      <c r="F5" s="151">
        <f>41.51/3.65</f>
        <v>11.372602739726027</v>
      </c>
      <c r="G5" s="1">
        <v>43</v>
      </c>
      <c r="H5" s="132">
        <f>H3*2*150/1000</f>
        <v>61.2</v>
      </c>
      <c r="I5" s="153" t="s">
        <v>38</v>
      </c>
      <c r="J5" s="8">
        <f>Table46734[[#This Row],[Cost per unit ]]*Table46734[[#This Row],[Quantity]]</f>
        <v>696.0032876712329</v>
      </c>
      <c r="K5" s="9">
        <f>Table46734[[#This Row],[Quantity]]/Table46734[[#This Row],[unit per duration ]]</f>
        <v>1.4232558139534885</v>
      </c>
      <c r="L5" s="1"/>
      <c r="M5" s="1"/>
      <c r="N5" s="1"/>
      <c r="O5" s="1"/>
      <c r="P5" s="1"/>
      <c r="Q5" s="1"/>
      <c r="R5" s="1"/>
      <c r="S5" s="1"/>
      <c r="T5" s="1"/>
      <c r="U5" s="1"/>
      <c r="V5" s="1"/>
    </row>
    <row r="6" spans="1:22" x14ac:dyDescent="0.25">
      <c r="A6" s="132"/>
      <c r="B6" s="134"/>
      <c r="C6" s="132"/>
      <c r="D6" s="132"/>
      <c r="E6" s="159" t="s">
        <v>95</v>
      </c>
      <c r="F6" s="151">
        <f>27.54/3.65</f>
        <v>7.5452054794520551</v>
      </c>
      <c r="G6" s="132">
        <v>43</v>
      </c>
      <c r="H6" s="132">
        <f>H4</f>
        <v>306</v>
      </c>
      <c r="I6" s="153" t="s">
        <v>38</v>
      </c>
      <c r="J6" s="133">
        <f>Table46734[[#This Row],[Quantity]]*Table46734[[#This Row],[Cost per unit ]]</f>
        <v>2308.8328767123289</v>
      </c>
      <c r="K6" s="9">
        <f>Table46734[[#This Row],[Quantity]]/Table46734[[#This Row],[unit per duration ]]</f>
        <v>7.1162790697674421</v>
      </c>
      <c r="L6" s="132"/>
      <c r="M6" s="132"/>
      <c r="N6" s="132"/>
      <c r="O6" s="132"/>
      <c r="P6" s="132"/>
      <c r="Q6" s="132"/>
      <c r="R6" s="132"/>
      <c r="S6" s="132"/>
      <c r="T6" s="132"/>
      <c r="U6" s="132"/>
      <c r="V6" s="132"/>
    </row>
    <row r="7" spans="1:22" x14ac:dyDescent="0.25">
      <c r="A7" s="1"/>
      <c r="C7" s="1"/>
      <c r="D7" s="1"/>
      <c r="E7" s="153" t="s">
        <v>96</v>
      </c>
      <c r="F7" s="150">
        <f>2.49/3.65</f>
        <v>0.68219178082191789</v>
      </c>
      <c r="G7" s="1">
        <v>20</v>
      </c>
      <c r="H7" s="1">
        <f>H3</f>
        <v>204</v>
      </c>
      <c r="I7" s="153" t="s">
        <v>37</v>
      </c>
      <c r="J7" s="8">
        <f>Table46734[[#This Row],[Cost per unit ]]*Table46734[[#This Row],[Quantity]]</f>
        <v>139.16712328767125</v>
      </c>
      <c r="K7" s="9">
        <f>Table46734[[#This Row],[Quantity]]/Table46734[[#This Row],[unit per duration ]]</f>
        <v>10.199999999999999</v>
      </c>
      <c r="L7" s="132" t="s">
        <v>111</v>
      </c>
      <c r="M7" s="1"/>
      <c r="N7" s="1"/>
      <c r="O7" s="1"/>
      <c r="P7" s="1"/>
      <c r="Q7" s="1"/>
      <c r="R7" s="1"/>
      <c r="S7" s="1"/>
      <c r="T7" s="1"/>
      <c r="U7" s="1"/>
      <c r="V7" s="1"/>
    </row>
    <row r="8" spans="1:22" hidden="1" x14ac:dyDescent="0.25">
      <c r="A8" s="1"/>
      <c r="C8" s="1"/>
      <c r="D8" s="1"/>
      <c r="E8" s="153" t="s">
        <v>51</v>
      </c>
      <c r="H8" s="154">
        <v>170</v>
      </c>
      <c r="I8" s="153" t="s">
        <v>37</v>
      </c>
      <c r="J8" s="8"/>
      <c r="K8" s="9" t="e">
        <f>Table46734[[#This Row],[Quantity]]/Table46734[[#This Row],[unit per duration ]]</f>
        <v>#DIV/0!</v>
      </c>
      <c r="L8" s="1"/>
      <c r="M8" s="1"/>
      <c r="N8" s="1"/>
      <c r="O8" s="1"/>
      <c r="P8" s="1"/>
      <c r="Q8" s="1"/>
      <c r="R8" s="1"/>
      <c r="S8" s="1"/>
      <c r="T8" s="1"/>
      <c r="U8" s="1"/>
      <c r="V8" s="1"/>
    </row>
    <row r="9" spans="1:22" hidden="1" x14ac:dyDescent="0.25">
      <c r="A9" s="1"/>
      <c r="C9" s="1"/>
      <c r="D9" s="1"/>
      <c r="E9" s="153" t="s">
        <v>97</v>
      </c>
      <c r="H9" s="154">
        <v>47</v>
      </c>
      <c r="I9" s="153" t="s">
        <v>38</v>
      </c>
      <c r="J9" s="8"/>
      <c r="K9" s="9" t="e">
        <f>Table46734[[#This Row],[Quantity]]/Table46734[[#This Row],[unit per duration ]]</f>
        <v>#DIV/0!</v>
      </c>
      <c r="L9" s="1"/>
      <c r="M9" s="1"/>
      <c r="N9" s="1"/>
      <c r="O9" s="1"/>
      <c r="P9" s="1"/>
      <c r="Q9" s="1"/>
      <c r="R9" s="1"/>
      <c r="S9" s="1"/>
      <c r="T9" s="1"/>
      <c r="U9" s="1"/>
      <c r="V9" s="1"/>
    </row>
    <row r="10" spans="1:22" hidden="1" x14ac:dyDescent="0.25">
      <c r="A10" s="1"/>
      <c r="C10" s="1"/>
      <c r="D10" s="1"/>
      <c r="E10" s="153" t="s">
        <v>52</v>
      </c>
      <c r="H10" s="154">
        <v>7</v>
      </c>
      <c r="I10" s="153" t="s">
        <v>38</v>
      </c>
      <c r="J10" s="8"/>
      <c r="K10" s="9" t="e">
        <f>Table46734[[#This Row],[Quantity]]/Table46734[[#This Row],[unit per duration ]]</f>
        <v>#DIV/0!</v>
      </c>
      <c r="L10" s="1"/>
      <c r="M10" s="1"/>
      <c r="N10" s="1"/>
      <c r="O10" s="1"/>
      <c r="P10" s="1"/>
      <c r="Q10" s="1"/>
      <c r="R10" s="1"/>
      <c r="S10" s="1"/>
      <c r="T10" s="1"/>
      <c r="U10" s="1"/>
      <c r="V10" s="1"/>
    </row>
    <row r="11" spans="1:22" hidden="1" x14ac:dyDescent="0.25">
      <c r="A11" s="1"/>
      <c r="C11" s="1"/>
      <c r="D11" s="1"/>
      <c r="E11" s="153" t="s">
        <v>39</v>
      </c>
      <c r="H11" s="154">
        <v>22</v>
      </c>
      <c r="I11" s="153" t="s">
        <v>38</v>
      </c>
      <c r="J11" s="8"/>
      <c r="K11" s="9" t="e">
        <f>Table46734[[#This Row],[Quantity]]/Table46734[[#This Row],[unit per duration ]]</f>
        <v>#DIV/0!</v>
      </c>
      <c r="L11" s="1"/>
      <c r="M11" s="1"/>
      <c r="N11" s="1"/>
      <c r="O11" s="1"/>
      <c r="P11" s="1"/>
      <c r="Q11" s="1"/>
      <c r="R11" s="1"/>
      <c r="S11" s="1"/>
      <c r="T11" s="1"/>
      <c r="U11" s="1"/>
      <c r="V11" s="1"/>
    </row>
    <row r="12" spans="1:22" hidden="1" x14ac:dyDescent="0.25">
      <c r="A12" s="1"/>
      <c r="C12" s="1"/>
      <c r="D12" s="1"/>
      <c r="E12" s="153" t="s">
        <v>40</v>
      </c>
      <c r="G12" s="148">
        <v>0.15</v>
      </c>
      <c r="H12" s="154">
        <v>50</v>
      </c>
      <c r="I12" s="153" t="s">
        <v>38</v>
      </c>
      <c r="J12" s="8"/>
      <c r="K12" s="9">
        <f>Table46734[[#This Row],[Quantity]]/Table46734[[#This Row],[unit per duration ]]</f>
        <v>333.33333333333337</v>
      </c>
      <c r="L12" s="1"/>
      <c r="M12" s="1"/>
      <c r="N12" s="1"/>
      <c r="O12" s="1" t="s">
        <v>103</v>
      </c>
      <c r="P12" s="1"/>
      <c r="Q12" s="1"/>
      <c r="R12" s="1"/>
      <c r="S12" s="1"/>
      <c r="T12" s="1"/>
      <c r="U12" s="1"/>
      <c r="V12" s="1"/>
    </row>
    <row r="13" spans="1:22" x14ac:dyDescent="0.25">
      <c r="A13" s="1"/>
      <c r="C13" s="1"/>
      <c r="D13" s="1"/>
      <c r="E13" s="153" t="s">
        <v>101</v>
      </c>
      <c r="F13">
        <f>300*1.2</f>
        <v>360</v>
      </c>
      <c r="G13">
        <v>22</v>
      </c>
      <c r="H13" s="154">
        <v>42</v>
      </c>
      <c r="I13" s="153" t="s">
        <v>38</v>
      </c>
      <c r="J13" s="8">
        <f>Table46734[[#This Row],[Quantity]]*Table46734[[#This Row],[Cost per unit ]]</f>
        <v>15120</v>
      </c>
      <c r="K13" s="9">
        <f>Table46734[[#This Row],[Quantity]]/Table46734[[#This Row],[unit per duration ]]</f>
        <v>1.9090909090909092</v>
      </c>
      <c r="L13" s="1"/>
      <c r="M13" s="1"/>
      <c r="N13" s="1"/>
      <c r="O13" s="1"/>
      <c r="P13" s="1"/>
      <c r="Q13" s="1"/>
      <c r="R13" s="1"/>
      <c r="S13" s="1"/>
      <c r="T13" s="1"/>
      <c r="U13" s="1"/>
      <c r="V13" s="1" t="s">
        <v>102</v>
      </c>
    </row>
    <row r="14" spans="1:22" x14ac:dyDescent="0.25">
      <c r="A14" s="1"/>
      <c r="C14" s="1"/>
      <c r="D14" s="1"/>
      <c r="E14" s="153" t="s">
        <v>100</v>
      </c>
      <c r="F14">
        <f>0.35*1.2</f>
        <v>0.42</v>
      </c>
      <c r="G14">
        <v>22</v>
      </c>
      <c r="H14" s="154">
        <v>11700</v>
      </c>
      <c r="I14" s="153" t="s">
        <v>41</v>
      </c>
      <c r="J14" s="8">
        <f>Table46734[[#This Row],[Cost per unit ]]*Table46734[[#This Row],[Quantity]]</f>
        <v>4914</v>
      </c>
      <c r="K14" s="9">
        <f>Table46734[[#This Row],[Quantity]]/(Table46734[[#This Row],[unit per duration ]]*10)</f>
        <v>53.18181818181818</v>
      </c>
      <c r="L14" s="1"/>
      <c r="M14" s="1"/>
      <c r="N14" s="1"/>
      <c r="O14" s="1"/>
      <c r="P14" s="1"/>
      <c r="Q14" s="1"/>
      <c r="R14" s="1"/>
      <c r="S14" s="1"/>
      <c r="T14" s="1"/>
      <c r="U14" s="1"/>
      <c r="V14" s="1" t="s">
        <v>99</v>
      </c>
    </row>
    <row r="15" spans="1:22" x14ac:dyDescent="0.25">
      <c r="A15" s="1"/>
      <c r="C15" s="1"/>
      <c r="D15" s="1"/>
      <c r="E15" s="153" t="s">
        <v>104</v>
      </c>
      <c r="F15" s="151">
        <f>3860/3.65</f>
        <v>1057.5342465753424</v>
      </c>
      <c r="G15">
        <v>22</v>
      </c>
      <c r="H15" s="160">
        <f>H3</f>
        <v>204</v>
      </c>
      <c r="I15" s="153" t="s">
        <v>37</v>
      </c>
      <c r="J15" s="8">
        <f>Table46734[[#This Row],[Cost per unit ]]*Table46734[[#This Row],[Quantity]]</f>
        <v>215736.98630136985</v>
      </c>
      <c r="K15" s="9">
        <f>Table46734[[#This Row],[Quantity]]/Table46734[[#This Row],[unit per duration ]]</f>
        <v>9.2727272727272734</v>
      </c>
      <c r="L15" s="1"/>
      <c r="M15" s="1"/>
      <c r="N15" s="1"/>
      <c r="O15" s="1"/>
      <c r="P15" s="1"/>
      <c r="Q15" s="1"/>
      <c r="R15" s="1"/>
      <c r="S15" s="1"/>
      <c r="T15" s="1"/>
      <c r="U15" s="1"/>
      <c r="V15" s="1"/>
    </row>
    <row r="16" spans="1:22" x14ac:dyDescent="0.25">
      <c r="A16" s="1"/>
      <c r="C16" s="1"/>
      <c r="D16" s="1"/>
      <c r="E16" s="156" t="s">
        <v>42</v>
      </c>
      <c r="F16" s="150">
        <f>650/3.65</f>
        <v>178.08219178082192</v>
      </c>
      <c r="G16">
        <v>22</v>
      </c>
      <c r="H16" s="154">
        <v>65</v>
      </c>
      <c r="I16" s="153" t="s">
        <v>38</v>
      </c>
      <c r="J16" s="8">
        <f>Table46734[[#This Row],[Cost per unit ]]*Table46734[[#This Row],[Quantity]]</f>
        <v>11575.342465753425</v>
      </c>
      <c r="K16" s="9">
        <f>Table46734[[#This Row],[Quantity]]/Table46734[[#This Row],[unit per duration ]]</f>
        <v>2.9545454545454546</v>
      </c>
      <c r="L16" s="1"/>
      <c r="M16" s="1"/>
      <c r="N16" s="1"/>
      <c r="O16" s="1"/>
      <c r="P16" s="1"/>
      <c r="Q16" s="1"/>
      <c r="R16" s="1"/>
      <c r="S16" s="1"/>
      <c r="T16" s="1"/>
      <c r="U16" s="1"/>
      <c r="V16" s="1"/>
    </row>
    <row r="17" spans="1:22" x14ac:dyDescent="0.25">
      <c r="A17" s="1"/>
      <c r="C17" s="1"/>
      <c r="D17" s="1"/>
      <c r="E17" s="156" t="s">
        <v>43</v>
      </c>
      <c r="F17" s="150">
        <f>612/3.65</f>
        <v>167.67123287671234</v>
      </c>
      <c r="G17">
        <v>22</v>
      </c>
      <c r="H17" s="161">
        <v>29</v>
      </c>
      <c r="I17" s="156" t="s">
        <v>38</v>
      </c>
      <c r="J17" s="8">
        <f>Table46734[[#This Row],[Quantity]]*Table46734[[#This Row],[Cost per unit ]]</f>
        <v>4862.465753424658</v>
      </c>
      <c r="K17" s="9">
        <f>Table46734[[#This Row],[Quantity]]/Table46734[[#This Row],[unit per duration ]]</f>
        <v>1.3181818181818181</v>
      </c>
      <c r="L17" s="1"/>
      <c r="M17" s="1"/>
      <c r="N17" s="1"/>
      <c r="O17" s="1"/>
      <c r="P17" s="1"/>
      <c r="Q17" s="1"/>
      <c r="R17" s="1"/>
      <c r="S17" s="1"/>
      <c r="T17" s="1"/>
      <c r="U17" s="1"/>
      <c r="V17" s="1"/>
    </row>
    <row r="18" spans="1:22" x14ac:dyDescent="0.25">
      <c r="A18" s="1"/>
      <c r="C18" s="1"/>
      <c r="D18" s="1"/>
      <c r="E18" s="156" t="s">
        <v>44</v>
      </c>
      <c r="F18" s="150">
        <f>650/3.65</f>
        <v>178.08219178082192</v>
      </c>
      <c r="G18">
        <v>22</v>
      </c>
      <c r="H18" s="161">
        <v>68</v>
      </c>
      <c r="I18" s="156" t="s">
        <v>38</v>
      </c>
      <c r="J18" s="8">
        <f>Table46734[[#This Row],[Cost per unit ]]*Table46734[[#This Row],[Quantity]]</f>
        <v>12109.589041095891</v>
      </c>
      <c r="K18" s="9">
        <f>Table46734[[#This Row],[Quantity]]/Table46734[[#This Row],[unit per duration ]]</f>
        <v>3.0909090909090908</v>
      </c>
      <c r="L18" s="1"/>
      <c r="M18" s="1"/>
      <c r="N18" s="1"/>
      <c r="O18" s="1"/>
      <c r="P18" s="1"/>
      <c r="Q18" s="1"/>
      <c r="R18" s="1"/>
      <c r="S18" s="1"/>
      <c r="T18" s="1"/>
      <c r="U18" s="1"/>
      <c r="V18" s="1"/>
    </row>
    <row r="19" spans="1:22" x14ac:dyDescent="0.25">
      <c r="A19" s="1"/>
      <c r="C19" s="1"/>
      <c r="D19" s="1"/>
      <c r="E19" s="156" t="s">
        <v>45</v>
      </c>
      <c r="F19" s="150">
        <f>582/3.65</f>
        <v>159.45205479452056</v>
      </c>
      <c r="G19">
        <v>22</v>
      </c>
      <c r="H19" s="161">
        <v>10</v>
      </c>
      <c r="I19" s="156" t="s">
        <v>38</v>
      </c>
      <c r="J19" s="8">
        <f>Table46734[[#This Row],[Cost per unit ]]*Table46734[[#This Row],[Quantity]]</f>
        <v>1594.5205479452056</v>
      </c>
      <c r="K19" s="9">
        <v>1</v>
      </c>
      <c r="L19" s="1"/>
      <c r="M19" s="1"/>
      <c r="N19" s="1"/>
      <c r="O19" s="1"/>
      <c r="P19" s="1"/>
      <c r="Q19" s="1"/>
      <c r="R19" s="1"/>
      <c r="S19" s="1"/>
      <c r="T19" s="1"/>
      <c r="U19" s="1"/>
      <c r="V19" s="1"/>
    </row>
    <row r="20" spans="1:22" x14ac:dyDescent="0.25">
      <c r="A20" s="1"/>
      <c r="C20" s="1"/>
      <c r="D20" s="1"/>
      <c r="E20" s="156" t="s">
        <v>46</v>
      </c>
      <c r="F20" s="150">
        <f>692/3.65</f>
        <v>189.58904109589042</v>
      </c>
      <c r="G20">
        <v>22</v>
      </c>
      <c r="H20" s="161">
        <v>7</v>
      </c>
      <c r="I20" s="156" t="s">
        <v>38</v>
      </c>
      <c r="J20" s="8">
        <f>Table46734[[#This Row],[Cost per unit ]]*Table46734[[#This Row],[Quantity]]</f>
        <v>1327.1232876712329</v>
      </c>
      <c r="K20" s="9">
        <v>1</v>
      </c>
      <c r="L20" s="1"/>
      <c r="M20" s="1"/>
      <c r="N20" s="1"/>
      <c r="O20" s="1"/>
      <c r="P20" s="1"/>
      <c r="Q20" s="1"/>
      <c r="R20" s="1"/>
      <c r="S20" s="1"/>
      <c r="T20" s="1"/>
      <c r="U20" s="1"/>
      <c r="V20" s="1"/>
    </row>
    <row r="21" spans="1:22" x14ac:dyDescent="0.25">
      <c r="A21" s="1"/>
      <c r="C21" s="1"/>
      <c r="D21" s="1"/>
      <c r="E21" s="156" t="s">
        <v>40</v>
      </c>
      <c r="F21" s="150">
        <f>692/3.65</f>
        <v>189.58904109589042</v>
      </c>
      <c r="G21">
        <v>22</v>
      </c>
      <c r="H21" s="161">
        <v>4</v>
      </c>
      <c r="I21" s="156" t="s">
        <v>38</v>
      </c>
      <c r="J21" s="8">
        <f>Table46734[[#This Row],[Cost per unit ]]*Table46734[[#This Row],[Quantity]]</f>
        <v>758.35616438356169</v>
      </c>
      <c r="K21" s="9">
        <v>1</v>
      </c>
      <c r="L21" s="1"/>
      <c r="M21" s="1"/>
      <c r="N21" s="1"/>
      <c r="O21" s="1"/>
      <c r="P21" s="1"/>
      <c r="Q21" s="1"/>
      <c r="R21" s="1"/>
      <c r="S21" s="1"/>
      <c r="T21" s="1"/>
      <c r="U21" s="1"/>
      <c r="V21" s="1"/>
    </row>
    <row r="22" spans="1:22" x14ac:dyDescent="0.25">
      <c r="A22" s="1"/>
      <c r="C22" s="1"/>
      <c r="D22" s="1"/>
      <c r="E22" s="162" t="s">
        <v>47</v>
      </c>
      <c r="F22" s="149">
        <f>136/3.65</f>
        <v>37.260273972602739</v>
      </c>
      <c r="G22">
        <v>22</v>
      </c>
      <c r="H22" s="154">
        <v>275</v>
      </c>
      <c r="I22" s="156" t="s">
        <v>37</v>
      </c>
      <c r="J22" s="8">
        <f>Table46734[[#This Row],[Cost per unit ]]*Table46734[[#This Row],[Quantity]]</f>
        <v>10246.575342465754</v>
      </c>
      <c r="K22" s="9">
        <f>Table46734[[#This Row],[Quantity]]/Table46734[[#This Row],[unit per duration ]]</f>
        <v>12.5</v>
      </c>
      <c r="L22" s="1"/>
      <c r="M22" s="1"/>
      <c r="N22" s="1"/>
      <c r="O22" s="1"/>
      <c r="P22" s="1"/>
      <c r="Q22" s="1"/>
      <c r="R22" s="1"/>
      <c r="S22" s="1"/>
      <c r="T22" s="1"/>
      <c r="U22" s="1"/>
      <c r="V22" s="1"/>
    </row>
    <row r="23" spans="1:22" x14ac:dyDescent="0.25">
      <c r="A23" s="1"/>
      <c r="C23" s="1"/>
      <c r="D23" s="1"/>
      <c r="E23" s="162" t="s">
        <v>48</v>
      </c>
      <c r="F23" s="149">
        <f>4.53/3.65</f>
        <v>1.241095890410959</v>
      </c>
      <c r="G23">
        <v>22</v>
      </c>
      <c r="H23" s="154">
        <v>275</v>
      </c>
      <c r="I23" s="156" t="s">
        <v>37</v>
      </c>
      <c r="J23" s="8">
        <f>Table46734[[#This Row],[Cost per unit ]]*Table46734[[#This Row],[Quantity]]</f>
        <v>341.30136986301375</v>
      </c>
      <c r="K23" s="9">
        <f>Table46734[[#This Row],[Quantity]]/Table46734[[#This Row],[unit per duration ]]</f>
        <v>12.5</v>
      </c>
      <c r="L23" s="1"/>
      <c r="M23" s="1"/>
      <c r="N23" s="1"/>
      <c r="O23" s="1"/>
      <c r="P23" s="1"/>
      <c r="Q23" s="1"/>
      <c r="R23" s="1"/>
      <c r="S23" s="1"/>
      <c r="T23" s="1"/>
      <c r="U23" s="1"/>
      <c r="V23" s="1"/>
    </row>
    <row r="24" spans="1:22" x14ac:dyDescent="0.25">
      <c r="A24" s="1"/>
      <c r="C24" s="1"/>
      <c r="D24" s="1"/>
      <c r="E24" s="162" t="s">
        <v>49</v>
      </c>
      <c r="F24" s="149">
        <f>136/3.65</f>
        <v>37.260273972602739</v>
      </c>
      <c r="G24">
        <v>22</v>
      </c>
      <c r="H24" s="154">
        <v>275</v>
      </c>
      <c r="I24" s="156" t="s">
        <v>37</v>
      </c>
      <c r="J24" s="8">
        <f>Table46734[[#This Row],[Cost per unit ]]*Table46734[[#This Row],[Quantity]]</f>
        <v>10246.575342465754</v>
      </c>
      <c r="K24" s="9">
        <f>Table46734[[#This Row],[Quantity]]/Table46734[[#This Row],[unit per duration ]]</f>
        <v>12.5</v>
      </c>
      <c r="L24" s="1"/>
      <c r="M24" s="1"/>
      <c r="N24" s="1"/>
      <c r="O24" s="1"/>
      <c r="P24" s="1"/>
      <c r="Q24" s="1"/>
      <c r="R24" s="1"/>
      <c r="S24" s="1"/>
      <c r="T24" s="1"/>
      <c r="U24" s="1"/>
      <c r="V24" s="1"/>
    </row>
    <row r="25" spans="1:22" x14ac:dyDescent="0.25">
      <c r="A25" s="1"/>
      <c r="B25" s="163" t="s">
        <v>98</v>
      </c>
      <c r="C25" s="1"/>
      <c r="D25" s="1"/>
      <c r="E25" s="164" t="s">
        <v>14</v>
      </c>
      <c r="F25" t="s">
        <v>14</v>
      </c>
      <c r="H25" t="s">
        <v>14</v>
      </c>
      <c r="I25" t="s">
        <v>14</v>
      </c>
      <c r="J25" s="8">
        <v>194775</v>
      </c>
      <c r="K25" s="9">
        <v>30</v>
      </c>
      <c r="L25" s="1"/>
      <c r="M25" s="1"/>
      <c r="N25" s="1"/>
      <c r="O25" s="1"/>
      <c r="P25" s="1"/>
      <c r="Q25" s="1"/>
      <c r="R25" s="1"/>
      <c r="S25" s="1"/>
      <c r="T25" s="1"/>
      <c r="U25" s="1"/>
      <c r="V25" s="1"/>
    </row>
    <row r="26" spans="1:22" x14ac:dyDescent="0.25">
      <c r="A26" s="1"/>
      <c r="B26" s="165" t="s">
        <v>50</v>
      </c>
      <c r="C26" s="1"/>
      <c r="D26" s="1"/>
      <c r="E26" s="1"/>
      <c r="H26" s="1"/>
      <c r="I26" s="1"/>
      <c r="J26" s="8">
        <f>SUM(J3:J25)</f>
        <v>489848.67552015791</v>
      </c>
      <c r="K26" s="8">
        <f>K3+K4+K5+K6+K7+K13+K14+K15+K16+K17+K18+K19+K20+K21+K22+K23+K24+K25</f>
        <v>372.08308668076103</v>
      </c>
      <c r="L26" s="1"/>
      <c r="M26" s="1"/>
      <c r="N26" s="1"/>
      <c r="O26" s="1"/>
      <c r="P26" s="1"/>
      <c r="Q26" s="1"/>
      <c r="R26" s="1"/>
      <c r="S26" s="1"/>
      <c r="T26" s="1"/>
      <c r="U26" s="1"/>
      <c r="V26" s="1"/>
    </row>
    <row r="27" spans="1:22" x14ac:dyDescent="0.25">
      <c r="A27" s="1"/>
      <c r="E27" s="166" t="s">
        <v>107</v>
      </c>
      <c r="F27" s="150">
        <f>245/3.65</f>
        <v>67.123287671232873</v>
      </c>
      <c r="G27">
        <v>2.5</v>
      </c>
      <c r="H27" s="167">
        <v>45</v>
      </c>
      <c r="I27" s="156" t="s">
        <v>37</v>
      </c>
      <c r="J27" s="8">
        <f>Table46734[[#This Row],[Quantity]]*Table46734[[#This Row],[Cost per unit ]]</f>
        <v>3020.5479452054792</v>
      </c>
      <c r="K27" s="1">
        <f>Table46734[[#This Row],[Quantity]]*Table46734[[#This Row],[unit per duration ]]</f>
        <v>112.5</v>
      </c>
      <c r="L27" s="1"/>
      <c r="M27" s="1"/>
      <c r="N27" s="1"/>
      <c r="O27" s="1"/>
      <c r="P27" s="1"/>
      <c r="Q27" s="1"/>
      <c r="R27" s="1"/>
      <c r="S27" s="1"/>
      <c r="T27" s="1"/>
      <c r="U27" s="1"/>
      <c r="V27" s="1"/>
    </row>
    <row r="28" spans="1:22" x14ac:dyDescent="0.25">
      <c r="A28" s="1"/>
      <c r="E28" s="168" t="s">
        <v>106</v>
      </c>
      <c r="F28" s="150">
        <f>2500*20/3.65</f>
        <v>13698.630136986301</v>
      </c>
      <c r="G28">
        <v>1</v>
      </c>
      <c r="H28" s="169">
        <v>1</v>
      </c>
      <c r="I28" s="155" t="s">
        <v>93</v>
      </c>
      <c r="J28" s="8">
        <f>F28*Table46734[[#This Row],[Quantity]]</f>
        <v>13698.630136986301</v>
      </c>
      <c r="K28" s="1">
        <f>Table46734[[#This Row],[unit per duration ]]</f>
        <v>1</v>
      </c>
      <c r="L28" s="1"/>
      <c r="M28" s="1"/>
      <c r="N28" s="1"/>
      <c r="O28" s="1"/>
      <c r="P28" s="1"/>
      <c r="Q28" s="1"/>
      <c r="R28" s="1"/>
      <c r="S28" s="1"/>
      <c r="T28" s="1"/>
      <c r="U28" s="1"/>
      <c r="V28" s="1"/>
    </row>
    <row r="29" spans="1:22" x14ac:dyDescent="0.25">
      <c r="A29" s="1"/>
      <c r="E29" s="168" t="s">
        <v>109</v>
      </c>
      <c r="F29" s="150">
        <f>4311/3.65</f>
        <v>1181.0958904109589</v>
      </c>
      <c r="G29">
        <v>1</v>
      </c>
      <c r="H29" s="160">
        <v>9</v>
      </c>
      <c r="I29" s="155" t="s">
        <v>93</v>
      </c>
      <c r="J29" s="8">
        <f>Table46734[[#This Row],[Cost per unit ]]*Table46734[[#This Row],[Quantity]]</f>
        <v>10629.86301369863</v>
      </c>
      <c r="K29" s="1">
        <f>Table46734[[#This Row],[unit per duration ]]*Table46734[[#This Row],[Quantity]]</f>
        <v>9</v>
      </c>
      <c r="L29" s="1"/>
      <c r="M29" s="1"/>
      <c r="N29" s="1"/>
      <c r="O29" s="1"/>
      <c r="P29" s="1"/>
      <c r="Q29" s="1"/>
      <c r="R29" s="1"/>
      <c r="S29" s="1"/>
      <c r="T29" s="1"/>
      <c r="U29" s="1"/>
      <c r="V29" s="12" t="s">
        <v>105</v>
      </c>
    </row>
    <row r="30" spans="1:22" x14ac:dyDescent="0.25">
      <c r="A30" s="1"/>
      <c r="E30" s="168" t="s">
        <v>108</v>
      </c>
      <c r="F30" s="150">
        <f>4311/3.65</f>
        <v>1181.0958904109589</v>
      </c>
      <c r="G30">
        <v>1</v>
      </c>
      <c r="H30" s="169">
        <v>8</v>
      </c>
      <c r="I30" s="155" t="s">
        <v>93</v>
      </c>
      <c r="J30" s="8">
        <f>Table46734[[#This Row],[Cost per unit ]]*Table46734[[#This Row],[Quantity]]</f>
        <v>9448.767123287671</v>
      </c>
      <c r="K30" s="1">
        <f>Table46734[[#This Row],[unit per duration ]]*Table46734[[#This Row],[Quantity]]</f>
        <v>8</v>
      </c>
      <c r="L30" s="1"/>
      <c r="M30" s="1"/>
      <c r="N30" s="1"/>
      <c r="O30" s="1"/>
      <c r="P30" s="1"/>
      <c r="Q30" s="1"/>
      <c r="R30" s="1"/>
      <c r="S30" s="1"/>
      <c r="T30" s="1"/>
      <c r="U30" s="1"/>
      <c r="V30" s="1"/>
    </row>
    <row r="31" spans="1:22" x14ac:dyDescent="0.25">
      <c r="A31" s="123"/>
      <c r="B31" s="129"/>
      <c r="C31" s="123"/>
      <c r="D31" s="123"/>
      <c r="H31" s="180"/>
      <c r="I31" s="181"/>
      <c r="J31" s="125">
        <f>SUM(J27:J30)</f>
        <v>36797.808219178085</v>
      </c>
      <c r="K31" s="125">
        <f>SUM(K27:K30)</f>
        <v>130.5</v>
      </c>
      <c r="L31" s="123"/>
      <c r="M31" s="123"/>
      <c r="N31" s="123"/>
      <c r="O31" s="123"/>
      <c r="P31" s="123"/>
      <c r="Q31" s="123"/>
      <c r="R31" s="123"/>
      <c r="S31" s="123"/>
      <c r="T31" s="123"/>
      <c r="U31" s="123"/>
      <c r="V31" s="123"/>
    </row>
  </sheetData>
  <hyperlinks>
    <hyperlink ref="V29" r:id="rId1" xr:uid="{A0964D00-BD38-46D2-A7A5-F78225F6FA10}"/>
  </hyperlinks>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306F-CDE6-4679-9CCE-F4FC55D8756F}">
  <dimension ref="A1:A142"/>
  <sheetViews>
    <sheetView topLeftCell="A118" workbookViewId="0"/>
  </sheetViews>
  <sheetFormatPr defaultRowHeight="15" x14ac:dyDescent="0.25"/>
  <cols>
    <col min="1" max="1" width="136.85546875" customWidth="1"/>
  </cols>
  <sheetData>
    <row r="1" spans="1:1" x14ac:dyDescent="0.25">
      <c r="A1" s="176" t="s">
        <v>123</v>
      </c>
    </row>
    <row r="2" spans="1:1" ht="67.5" customHeight="1" x14ac:dyDescent="0.25">
      <c r="A2" s="177" t="s">
        <v>124</v>
      </c>
    </row>
    <row r="3" spans="1:1" x14ac:dyDescent="0.25">
      <c r="A3" s="176" t="s">
        <v>119</v>
      </c>
    </row>
    <row r="4" spans="1:1" x14ac:dyDescent="0.25">
      <c r="A4" s="176" t="s">
        <v>120</v>
      </c>
    </row>
    <row r="5" spans="1:1" x14ac:dyDescent="0.25">
      <c r="A5" s="176" t="s">
        <v>125</v>
      </c>
    </row>
    <row r="6" spans="1:1" x14ac:dyDescent="0.25">
      <c r="A6" s="176" t="s">
        <v>122</v>
      </c>
    </row>
    <row r="7" spans="1:1" x14ac:dyDescent="0.25">
      <c r="A7" s="176" t="s">
        <v>126</v>
      </c>
    </row>
    <row r="10" spans="1:1" x14ac:dyDescent="0.25">
      <c r="A10" s="176" t="s">
        <v>127</v>
      </c>
    </row>
    <row r="11" spans="1:1" ht="60" x14ac:dyDescent="0.25">
      <c r="A11" s="177" t="s">
        <v>131</v>
      </c>
    </row>
    <row r="12" spans="1:1" x14ac:dyDescent="0.25">
      <c r="A12" s="176" t="s">
        <v>119</v>
      </c>
    </row>
    <row r="13" spans="1:1" x14ac:dyDescent="0.25">
      <c r="A13" s="176" t="s">
        <v>120</v>
      </c>
    </row>
    <row r="14" spans="1:1" x14ac:dyDescent="0.25">
      <c r="A14" s="176" t="s">
        <v>121</v>
      </c>
    </row>
    <row r="15" spans="1:1" x14ac:dyDescent="0.25">
      <c r="A15" s="176" t="s">
        <v>129</v>
      </c>
    </row>
    <row r="16" spans="1:1" x14ac:dyDescent="0.25">
      <c r="A16" s="176" t="s">
        <v>128</v>
      </c>
    </row>
    <row r="19" spans="1:1" x14ac:dyDescent="0.25">
      <c r="A19" s="176" t="s">
        <v>130</v>
      </c>
    </row>
    <row r="20" spans="1:1" x14ac:dyDescent="0.25">
      <c r="A20" s="176" t="s">
        <v>132</v>
      </c>
    </row>
    <row r="21" spans="1:1" x14ac:dyDescent="0.25">
      <c r="A21" s="176" t="s">
        <v>119</v>
      </c>
    </row>
    <row r="22" spans="1:1" x14ac:dyDescent="0.25">
      <c r="A22" s="176" t="s">
        <v>120</v>
      </c>
    </row>
    <row r="23" spans="1:1" x14ac:dyDescent="0.25">
      <c r="A23" s="176" t="s">
        <v>121</v>
      </c>
    </row>
    <row r="24" spans="1:1" x14ac:dyDescent="0.25">
      <c r="A24" s="176" t="s">
        <v>129</v>
      </c>
    </row>
    <row r="25" spans="1:1" x14ac:dyDescent="0.25">
      <c r="A25" s="176" t="s">
        <v>128</v>
      </c>
    </row>
    <row r="28" spans="1:1" x14ac:dyDescent="0.25">
      <c r="A28" s="176" t="s">
        <v>130</v>
      </c>
    </row>
    <row r="29" spans="1:1" x14ac:dyDescent="0.25">
      <c r="A29" s="176" t="s">
        <v>132</v>
      </c>
    </row>
    <row r="30" spans="1:1" x14ac:dyDescent="0.25">
      <c r="A30" s="176" t="s">
        <v>119</v>
      </c>
    </row>
    <row r="31" spans="1:1" x14ac:dyDescent="0.25">
      <c r="A31" s="176" t="s">
        <v>120</v>
      </c>
    </row>
    <row r="32" spans="1:1" x14ac:dyDescent="0.25">
      <c r="A32" s="176" t="s">
        <v>121</v>
      </c>
    </row>
    <row r="33" spans="1:1" x14ac:dyDescent="0.25">
      <c r="A33" s="176" t="s">
        <v>129</v>
      </c>
    </row>
    <row r="34" spans="1:1" x14ac:dyDescent="0.25">
      <c r="A34" s="176" t="s">
        <v>128</v>
      </c>
    </row>
    <row r="37" spans="1:1" x14ac:dyDescent="0.25">
      <c r="A37" s="176" t="s">
        <v>133</v>
      </c>
    </row>
    <row r="38" spans="1:1" ht="60" x14ac:dyDescent="0.25">
      <c r="A38" s="177" t="s">
        <v>134</v>
      </c>
    </row>
    <row r="39" spans="1:1" x14ac:dyDescent="0.25">
      <c r="A39" s="176" t="s">
        <v>119</v>
      </c>
    </row>
    <row r="40" spans="1:1" x14ac:dyDescent="0.25">
      <c r="A40" s="176" t="s">
        <v>120</v>
      </c>
    </row>
    <row r="41" spans="1:1" x14ac:dyDescent="0.25">
      <c r="A41" s="176" t="s">
        <v>121</v>
      </c>
    </row>
    <row r="42" spans="1:1" x14ac:dyDescent="0.25">
      <c r="A42" s="176" t="s">
        <v>136</v>
      </c>
    </row>
    <row r="43" spans="1:1" x14ac:dyDescent="0.25">
      <c r="A43" s="176" t="s">
        <v>135</v>
      </c>
    </row>
    <row r="46" spans="1:1" x14ac:dyDescent="0.25">
      <c r="A46" s="176" t="s">
        <v>133</v>
      </c>
    </row>
    <row r="47" spans="1:1" ht="60" x14ac:dyDescent="0.25">
      <c r="A47" s="177" t="s">
        <v>134</v>
      </c>
    </row>
    <row r="48" spans="1:1" x14ac:dyDescent="0.25">
      <c r="A48" s="176" t="s">
        <v>119</v>
      </c>
    </row>
    <row r="49" spans="1:1" x14ac:dyDescent="0.25">
      <c r="A49" s="176" t="s">
        <v>120</v>
      </c>
    </row>
    <row r="50" spans="1:1" x14ac:dyDescent="0.25">
      <c r="A50" s="176" t="s">
        <v>121</v>
      </c>
    </row>
    <row r="51" spans="1:1" x14ac:dyDescent="0.25">
      <c r="A51" s="176" t="s">
        <v>136</v>
      </c>
    </row>
    <row r="52" spans="1:1" x14ac:dyDescent="0.25">
      <c r="A52" s="176" t="s">
        <v>135</v>
      </c>
    </row>
    <row r="55" spans="1:1" x14ac:dyDescent="0.25">
      <c r="A55" s="176" t="s">
        <v>138</v>
      </c>
    </row>
    <row r="56" spans="1:1" ht="60" x14ac:dyDescent="0.25">
      <c r="A56" s="177" t="s">
        <v>180</v>
      </c>
    </row>
    <row r="57" spans="1:1" x14ac:dyDescent="0.25">
      <c r="A57" s="176" t="s">
        <v>119</v>
      </c>
    </row>
    <row r="58" spans="1:1" x14ac:dyDescent="0.25">
      <c r="A58" s="176" t="s">
        <v>120</v>
      </c>
    </row>
    <row r="59" spans="1:1" x14ac:dyDescent="0.25">
      <c r="A59" s="176" t="s">
        <v>121</v>
      </c>
    </row>
    <row r="60" spans="1:1" x14ac:dyDescent="0.25">
      <c r="A60" s="176" t="s">
        <v>136</v>
      </c>
    </row>
    <row r="61" spans="1:1" x14ac:dyDescent="0.25">
      <c r="A61" s="176" t="s">
        <v>137</v>
      </c>
    </row>
    <row r="64" spans="1:1" x14ac:dyDescent="0.25">
      <c r="A64" s="176" t="s">
        <v>140</v>
      </c>
    </row>
    <row r="65" spans="1:1" ht="60" x14ac:dyDescent="0.25">
      <c r="A65" s="177" t="s">
        <v>180</v>
      </c>
    </row>
    <row r="66" spans="1:1" x14ac:dyDescent="0.25">
      <c r="A66" s="176" t="s">
        <v>119</v>
      </c>
    </row>
    <row r="67" spans="1:1" x14ac:dyDescent="0.25">
      <c r="A67" s="176" t="s">
        <v>120</v>
      </c>
    </row>
    <row r="68" spans="1:1" x14ac:dyDescent="0.25">
      <c r="A68" s="176" t="s">
        <v>121</v>
      </c>
    </row>
    <row r="69" spans="1:1" x14ac:dyDescent="0.25">
      <c r="A69" s="176" t="s">
        <v>141</v>
      </c>
    </row>
    <row r="70" spans="1:1" x14ac:dyDescent="0.25">
      <c r="A70" s="176" t="s">
        <v>137</v>
      </c>
    </row>
    <row r="73" spans="1:1" x14ac:dyDescent="0.25">
      <c r="A73" s="176" t="s">
        <v>142</v>
      </c>
    </row>
    <row r="74" spans="1:1" ht="60" x14ac:dyDescent="0.25">
      <c r="A74" s="177" t="s">
        <v>180</v>
      </c>
    </row>
    <row r="75" spans="1:1" x14ac:dyDescent="0.25">
      <c r="A75" s="176" t="s">
        <v>119</v>
      </c>
    </row>
    <row r="76" spans="1:1" x14ac:dyDescent="0.25">
      <c r="A76" s="176" t="s">
        <v>120</v>
      </c>
    </row>
    <row r="77" spans="1:1" x14ac:dyDescent="0.25">
      <c r="A77" s="176" t="s">
        <v>121</v>
      </c>
    </row>
    <row r="78" spans="1:1" x14ac:dyDescent="0.25">
      <c r="A78" s="176" t="s">
        <v>144</v>
      </c>
    </row>
    <row r="79" spans="1:1" x14ac:dyDescent="0.25">
      <c r="A79" s="176" t="s">
        <v>143</v>
      </c>
    </row>
    <row r="82" spans="1:1" x14ac:dyDescent="0.25">
      <c r="A82" s="176" t="s">
        <v>142</v>
      </c>
    </row>
    <row r="83" spans="1:1" ht="90" x14ac:dyDescent="0.25">
      <c r="A83" s="177" t="s">
        <v>181</v>
      </c>
    </row>
    <row r="84" spans="1:1" x14ac:dyDescent="0.25">
      <c r="A84" s="176" t="s">
        <v>119</v>
      </c>
    </row>
    <row r="85" spans="1:1" x14ac:dyDescent="0.25">
      <c r="A85" s="176" t="s">
        <v>120</v>
      </c>
    </row>
    <row r="86" spans="1:1" x14ac:dyDescent="0.25">
      <c r="A86" s="176" t="s">
        <v>121</v>
      </c>
    </row>
    <row r="87" spans="1:1" x14ac:dyDescent="0.25">
      <c r="A87" s="176" t="s">
        <v>144</v>
      </c>
    </row>
    <row r="88" spans="1:1" x14ac:dyDescent="0.25">
      <c r="A88" s="176" t="s">
        <v>143</v>
      </c>
    </row>
    <row r="91" spans="1:1" x14ac:dyDescent="0.25">
      <c r="A91" s="176" t="s">
        <v>145</v>
      </c>
    </row>
    <row r="92" spans="1:1" ht="60" x14ac:dyDescent="0.25">
      <c r="A92" s="177" t="s">
        <v>139</v>
      </c>
    </row>
    <row r="93" spans="1:1" x14ac:dyDescent="0.25">
      <c r="A93" s="176" t="s">
        <v>119</v>
      </c>
    </row>
    <row r="94" spans="1:1" x14ac:dyDescent="0.25">
      <c r="A94" s="176" t="s">
        <v>120</v>
      </c>
    </row>
    <row r="95" spans="1:1" x14ac:dyDescent="0.25">
      <c r="A95" s="176" t="s">
        <v>121</v>
      </c>
    </row>
    <row r="96" spans="1:1" x14ac:dyDescent="0.25">
      <c r="A96" s="176" t="s">
        <v>147</v>
      </c>
    </row>
    <row r="97" spans="1:1" x14ac:dyDescent="0.25">
      <c r="A97" s="176" t="s">
        <v>146</v>
      </c>
    </row>
    <row r="100" spans="1:1" x14ac:dyDescent="0.25">
      <c r="A100" s="176" t="s">
        <v>145</v>
      </c>
    </row>
    <row r="101" spans="1:1" ht="60" x14ac:dyDescent="0.25">
      <c r="A101" s="177" t="s">
        <v>139</v>
      </c>
    </row>
    <row r="102" spans="1:1" x14ac:dyDescent="0.25">
      <c r="A102" s="176" t="s">
        <v>119</v>
      </c>
    </row>
    <row r="103" spans="1:1" x14ac:dyDescent="0.25">
      <c r="A103" s="176" t="s">
        <v>120</v>
      </c>
    </row>
    <row r="104" spans="1:1" x14ac:dyDescent="0.25">
      <c r="A104" s="176" t="s">
        <v>121</v>
      </c>
    </row>
    <row r="105" spans="1:1" x14ac:dyDescent="0.25">
      <c r="A105" s="176" t="s">
        <v>147</v>
      </c>
    </row>
    <row r="106" spans="1:1" x14ac:dyDescent="0.25">
      <c r="A106" s="176" t="s">
        <v>146</v>
      </c>
    </row>
    <row r="109" spans="1:1" x14ac:dyDescent="0.25">
      <c r="A109" s="176" t="s">
        <v>165</v>
      </c>
    </row>
    <row r="110" spans="1:1" ht="45" x14ac:dyDescent="0.25">
      <c r="A110" s="177" t="s">
        <v>170</v>
      </c>
    </row>
    <row r="111" spans="1:1" x14ac:dyDescent="0.25">
      <c r="A111" s="176" t="s">
        <v>119</v>
      </c>
    </row>
    <row r="112" spans="1:1" x14ac:dyDescent="0.25">
      <c r="A112" s="176" t="s">
        <v>120</v>
      </c>
    </row>
    <row r="113" spans="1:1" x14ac:dyDescent="0.25">
      <c r="A113" s="176" t="s">
        <v>121</v>
      </c>
    </row>
    <row r="114" spans="1:1" x14ac:dyDescent="0.25">
      <c r="A114" s="176" t="s">
        <v>169</v>
      </c>
    </row>
    <row r="115" spans="1:1" x14ac:dyDescent="0.25">
      <c r="A115" s="176" t="s">
        <v>168</v>
      </c>
    </row>
    <row r="118" spans="1:1" x14ac:dyDescent="0.25">
      <c r="A118" s="176" t="s">
        <v>171</v>
      </c>
    </row>
    <row r="119" spans="1:1" ht="45" x14ac:dyDescent="0.25">
      <c r="A119" s="177" t="s">
        <v>178</v>
      </c>
    </row>
    <row r="120" spans="1:1" x14ac:dyDescent="0.25">
      <c r="A120" s="176" t="s">
        <v>119</v>
      </c>
    </row>
    <row r="121" spans="1:1" x14ac:dyDescent="0.25">
      <c r="A121" s="176" t="s">
        <v>120</v>
      </c>
    </row>
    <row r="122" spans="1:1" x14ac:dyDescent="0.25">
      <c r="A122" s="176" t="s">
        <v>121</v>
      </c>
    </row>
    <row r="123" spans="1:1" x14ac:dyDescent="0.25">
      <c r="A123" s="176" t="s">
        <v>172</v>
      </c>
    </row>
    <row r="124" spans="1:1" x14ac:dyDescent="0.25">
      <c r="A124" s="176" t="s">
        <v>173</v>
      </c>
    </row>
    <row r="127" spans="1:1" x14ac:dyDescent="0.25">
      <c r="A127" s="176" t="s">
        <v>177</v>
      </c>
    </row>
    <row r="128" spans="1:1" x14ac:dyDescent="0.25">
      <c r="A128" s="177" t="s">
        <v>176</v>
      </c>
    </row>
    <row r="129" spans="1:1" x14ac:dyDescent="0.25">
      <c r="A129" s="176" t="s">
        <v>119</v>
      </c>
    </row>
    <row r="130" spans="1:1" x14ac:dyDescent="0.25">
      <c r="A130" s="176" t="s">
        <v>120</v>
      </c>
    </row>
    <row r="131" spans="1:1" x14ac:dyDescent="0.25">
      <c r="A131" s="176" t="s">
        <v>121</v>
      </c>
    </row>
    <row r="132" spans="1:1" x14ac:dyDescent="0.25">
      <c r="A132" s="176" t="s">
        <v>175</v>
      </c>
    </row>
    <row r="133" spans="1:1" x14ac:dyDescent="0.25">
      <c r="A133" s="176" t="s">
        <v>174</v>
      </c>
    </row>
    <row r="136" spans="1:1" x14ac:dyDescent="0.25">
      <c r="A136" s="176"/>
    </row>
    <row r="137" spans="1:1" x14ac:dyDescent="0.25">
      <c r="A137" s="177"/>
    </row>
    <row r="138" spans="1:1" x14ac:dyDescent="0.25">
      <c r="A138" s="176"/>
    </row>
    <row r="139" spans="1:1" x14ac:dyDescent="0.25">
      <c r="A139" s="176"/>
    </row>
    <row r="140" spans="1:1" x14ac:dyDescent="0.25">
      <c r="A140" s="176"/>
    </row>
    <row r="141" spans="1:1" x14ac:dyDescent="0.25">
      <c r="A141" s="176"/>
    </row>
    <row r="142" spans="1:1" x14ac:dyDescent="0.25">
      <c r="A142" s="17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2BD42-F6D6-453C-8165-6EAD65CD142B}">
  <dimension ref="A1:K6"/>
  <sheetViews>
    <sheetView workbookViewId="0">
      <selection activeCell="C14" sqref="C14"/>
    </sheetView>
  </sheetViews>
  <sheetFormatPr defaultRowHeight="15" x14ac:dyDescent="0.25"/>
  <cols>
    <col min="1" max="1" width="19.7109375" bestFit="1" customWidth="1"/>
    <col min="2" max="2" width="8.42578125" bestFit="1" customWidth="1"/>
    <col min="3" max="3" width="18.85546875" bestFit="1" customWidth="1"/>
    <col min="4" max="4" width="17.85546875" bestFit="1" customWidth="1"/>
    <col min="5" max="5" width="23.5703125" bestFit="1" customWidth="1"/>
    <col min="6" max="6" width="12.140625" bestFit="1" customWidth="1"/>
    <col min="7" max="7" width="10.5703125" customWidth="1"/>
    <col min="8" max="8" width="11" bestFit="1" customWidth="1"/>
    <col min="9" max="9" width="10.42578125" customWidth="1"/>
    <col min="10" max="10" width="11.5703125" bestFit="1" customWidth="1"/>
  </cols>
  <sheetData>
    <row r="1" spans="1:11" x14ac:dyDescent="0.25">
      <c r="A1" t="s">
        <v>148</v>
      </c>
      <c r="B1" s="182">
        <f>750</f>
        <v>750</v>
      </c>
      <c r="C1" s="182" t="s">
        <v>149</v>
      </c>
      <c r="D1" s="183">
        <v>40</v>
      </c>
      <c r="E1" s="184" t="s">
        <v>15</v>
      </c>
      <c r="F1" s="185">
        <v>5</v>
      </c>
      <c r="G1" s="186" t="s">
        <v>150</v>
      </c>
      <c r="H1" s="187">
        <f>D1*F1</f>
        <v>200</v>
      </c>
      <c r="I1" s="187" t="s">
        <v>151</v>
      </c>
      <c r="J1" s="188">
        <v>0.5</v>
      </c>
      <c r="K1">
        <f>H1/J1</f>
        <v>400</v>
      </c>
    </row>
    <row r="2" spans="1:11" x14ac:dyDescent="0.25">
      <c r="A2" t="s">
        <v>152</v>
      </c>
      <c r="B2">
        <f>B1/K1</f>
        <v>1.875</v>
      </c>
      <c r="C2" t="s">
        <v>153</v>
      </c>
      <c r="D2" s="12" t="s">
        <v>154</v>
      </c>
    </row>
    <row r="3" spans="1:11" x14ac:dyDescent="0.25">
      <c r="B3" t="s">
        <v>155</v>
      </c>
      <c r="C3" t="s">
        <v>156</v>
      </c>
    </row>
    <row r="4" spans="1:11" x14ac:dyDescent="0.25">
      <c r="A4" t="s">
        <v>157</v>
      </c>
      <c r="B4">
        <v>40</v>
      </c>
      <c r="C4">
        <f>B4*10000</f>
        <v>400000</v>
      </c>
      <c r="D4" s="12" t="s">
        <v>158</v>
      </c>
    </row>
    <row r="5" spans="1:11" x14ac:dyDescent="0.25">
      <c r="B5" t="s">
        <v>159</v>
      </c>
      <c r="C5" t="s">
        <v>160</v>
      </c>
      <c r="D5" t="s">
        <v>161</v>
      </c>
      <c r="E5" t="s">
        <v>162</v>
      </c>
      <c r="F5" t="s">
        <v>163</v>
      </c>
    </row>
    <row r="6" spans="1:11" x14ac:dyDescent="0.25">
      <c r="A6" t="s">
        <v>164</v>
      </c>
      <c r="B6">
        <f>C4*2</f>
        <v>800000</v>
      </c>
      <c r="C6">
        <v>120.61</v>
      </c>
      <c r="D6">
        <v>20</v>
      </c>
      <c r="E6">
        <f>B6/(C6*D6)</f>
        <v>331.64745875134736</v>
      </c>
      <c r="F6">
        <f>E6/8</f>
        <v>41.45593234391842</v>
      </c>
    </row>
  </sheetData>
  <hyperlinks>
    <hyperlink ref="D4" r:id="rId1" xr:uid="{5B2BFF6E-A7D2-4F57-A163-9C32D50D53FF}"/>
    <hyperlink ref="D2" r:id="rId2" xr:uid="{CA877FE7-9C34-4D15-B650-C7BC4566DE9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1E2352B984694B941742B03996E73F" ma:contentTypeVersion="7" ma:contentTypeDescription="Create a new document." ma:contentTypeScope="" ma:versionID="6a0406e67ba2345c66f8eca5f897e26e">
  <xsd:schema xmlns:xsd="http://www.w3.org/2001/XMLSchema" xmlns:xs="http://www.w3.org/2001/XMLSchema" xmlns:p="http://schemas.microsoft.com/office/2006/metadata/properties" xmlns:ns3="8b507fb3-2378-40d5-b6f2-38cda78c6292" xmlns:ns4="44bcfc64-3431-4957-884e-c190120d8941" targetNamespace="http://schemas.microsoft.com/office/2006/metadata/properties" ma:root="true" ma:fieldsID="39fb0c72adb425d6e12f83ea8b07443b" ns3:_="" ns4:_="">
    <xsd:import namespace="8b507fb3-2378-40d5-b6f2-38cda78c6292"/>
    <xsd:import namespace="44bcfc64-3431-4957-884e-c190120d894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507fb3-2378-40d5-b6f2-38cda78c629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4bcfc64-3431-4957-884e-c190120d8941"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043DB4-B66B-4A1E-80DA-355D562CF2E1}">
  <ds:schemaRefs>
    <ds:schemaRef ds:uri="http://purl.org/dc/dcmitype/"/>
    <ds:schemaRef ds:uri="http://purl.org/dc/elements/1.1/"/>
    <ds:schemaRef ds:uri="8b507fb3-2378-40d5-b6f2-38cda78c6292"/>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44bcfc64-3431-4957-884e-c190120d8941"/>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2D9E28D9-B96A-4C27-8C6B-F9BC131B43C9}">
  <ds:schemaRefs>
    <ds:schemaRef ds:uri="http://schemas.microsoft.com/sharepoint/v3/contenttype/forms"/>
  </ds:schemaRefs>
</ds:datastoreItem>
</file>

<file path=customXml/itemProps3.xml><?xml version="1.0" encoding="utf-8"?>
<ds:datastoreItem xmlns:ds="http://schemas.openxmlformats.org/officeDocument/2006/customXml" ds:itemID="{EE81982F-9368-4EEA-8058-02A4ADAFCB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507fb3-2378-40d5-b6f2-38cda78c6292"/>
    <ds:schemaRef ds:uri="44bcfc64-3431-4957-884e-c190120d89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Pond</vt:lpstr>
      <vt:lpstr>Support System</vt:lpstr>
      <vt:lpstr>Packaging facility</vt:lpstr>
      <vt:lpstr>Admin facility </vt:lpstr>
      <vt:lpstr>Sheet2</vt:lpstr>
      <vt:lpstr>hectare 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houkan</dc:creator>
  <cp:lastModifiedBy>Mohammed Mudassir</cp:lastModifiedBy>
  <dcterms:created xsi:type="dcterms:W3CDTF">2020-04-24T19:25:10Z</dcterms:created>
  <dcterms:modified xsi:type="dcterms:W3CDTF">2020-04-27T13:56:18Z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0x010100AF1E2352B984694B941742B03996E73F</vt:lpwstr>
  </property>
  <property fmtid="{D5CDD505-2E9C-101B-9397-08002B2CF9AE}" pid="3" name="WorkbookGuid">
    <vt:lpwstr>f3df0401-179e-44df-b9d9-4e3419a16a23</vt:lpwstr>
  </property>
</Properties>
</file>