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1"/>
  <workbookPr defaultThemeVersion="166925"/>
  <mc:AlternateContent xmlns:mc="http://schemas.openxmlformats.org/markup-compatibility/2006">
    <mc:Choice Requires="x15">
      <x15ac:absPath xmlns:x15ac="http://schemas.microsoft.com/office/spreadsheetml/2010/11/ac" url="https://qucloud-my.sharepoint.com/personal/mh1208170_qu_edu_qa/Documents/"/>
    </mc:Choice>
  </mc:AlternateContent>
  <xr:revisionPtr revIDLastSave="0" documentId="8_{B28FBBC6-ED3A-42E6-BAD8-C25C50C74F02}" xr6:coauthVersionLast="45" xr6:coauthVersionMax="45" xr10:uidLastSave="{00000000-0000-0000-0000-000000000000}"/>
  <bookViews>
    <workbookView xWindow="-110" yWindow="-110" windowWidth="19420" windowHeight="11020" xr2:uid="{24B27C23-68BE-4952-95A7-88AD661B6AF5}"/>
  </bookViews>
  <sheets>
    <sheet name="Pond" sheetId="1" r:id="rId1"/>
    <sheet name="Support System" sheetId="4" r:id="rId2"/>
    <sheet name="Packaging facility" sheetId="6" r:id="rId3"/>
    <sheet name="Admin facility " sheetId="7" r:id="rId4"/>
    <sheet name="hectare calc" sheetId="9"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8" i="4" l="1"/>
  <c r="F23" i="4"/>
  <c r="F24" i="4"/>
  <c r="F25" i="4"/>
  <c r="F26" i="4"/>
  <c r="F22" i="4"/>
  <c r="F21" i="4"/>
  <c r="F20" i="4"/>
  <c r="I25" i="7"/>
  <c r="F15" i="4" l="1"/>
  <c r="F13" i="4"/>
  <c r="C3" i="6"/>
  <c r="C4" i="6"/>
  <c r="C5" i="6"/>
  <c r="C6" i="6"/>
  <c r="C7" i="6"/>
  <c r="E8" i="6"/>
  <c r="H8" i="6" s="1"/>
  <c r="E9" i="6"/>
  <c r="H9" i="6" s="1"/>
  <c r="E10" i="6"/>
  <c r="H10" i="6"/>
  <c r="E11" i="6"/>
  <c r="H11" i="6" s="1"/>
  <c r="E12" i="6"/>
  <c r="H12" i="6" s="1"/>
  <c r="C13" i="6"/>
  <c r="E13" i="6"/>
  <c r="C14" i="6"/>
  <c r="E14" i="6"/>
  <c r="H14" i="6" s="1"/>
  <c r="C15" i="6"/>
  <c r="C16" i="6"/>
  <c r="E16" i="6"/>
  <c r="H16" i="6" s="1"/>
  <c r="C17" i="6"/>
  <c r="E17" i="6"/>
  <c r="C18" i="6"/>
  <c r="E18" i="6"/>
  <c r="H18" i="6" s="1"/>
  <c r="C19" i="6"/>
  <c r="E19" i="6"/>
  <c r="H19" i="6" s="1"/>
  <c r="C20" i="6"/>
  <c r="E20" i="6"/>
  <c r="H20" i="6" s="1"/>
  <c r="C21" i="6"/>
  <c r="E21" i="6"/>
  <c r="C22" i="6"/>
  <c r="E22" i="6"/>
  <c r="H22" i="6" s="1"/>
  <c r="C23" i="6"/>
  <c r="E23" i="6"/>
  <c r="H23" i="6" s="1"/>
  <c r="C24" i="6"/>
  <c r="E24" i="6"/>
  <c r="H24" i="6" s="1"/>
  <c r="G10" i="1"/>
  <c r="E4" i="1"/>
  <c r="E10" i="1" s="1"/>
  <c r="F10" i="1" s="1"/>
  <c r="F4" i="1"/>
  <c r="G4" i="1"/>
  <c r="H37" i="6"/>
  <c r="B1" i="9"/>
  <c r="H1" i="9"/>
  <c r="K1" i="9"/>
  <c r="B2" i="9" s="1"/>
  <c r="C4" i="9"/>
  <c r="B6" i="9"/>
  <c r="E6" i="9"/>
  <c r="F6" i="9"/>
  <c r="J14" i="7"/>
  <c r="G17" i="6" l="1"/>
  <c r="G22" i="6"/>
  <c r="G23" i="6"/>
  <c r="G24" i="6"/>
  <c r="G20" i="6"/>
  <c r="G18" i="6"/>
  <c r="G16" i="6"/>
  <c r="G19" i="6"/>
  <c r="G14" i="6"/>
  <c r="G21" i="6"/>
  <c r="G13" i="6"/>
  <c r="H17" i="6"/>
  <c r="H13" i="6"/>
  <c r="G4" i="4"/>
  <c r="G5" i="4"/>
  <c r="G6" i="4"/>
  <c r="G3" i="4"/>
  <c r="E4" i="4"/>
  <c r="E5" i="4" s="1"/>
  <c r="F3" i="4"/>
  <c r="E6" i="4"/>
  <c r="F6" i="4" s="1"/>
  <c r="C29" i="6"/>
  <c r="G29" i="6" s="1"/>
  <c r="E39" i="6"/>
  <c r="E27" i="7"/>
  <c r="I27" i="7"/>
  <c r="J27" i="7"/>
  <c r="E28" i="7"/>
  <c r="I28" i="7" s="1"/>
  <c r="J28" i="7"/>
  <c r="E29" i="7"/>
  <c r="I29" i="7" s="1"/>
  <c r="J29" i="7"/>
  <c r="E30" i="7"/>
  <c r="I30" i="7" s="1"/>
  <c r="J30" i="7"/>
  <c r="E3" i="7"/>
  <c r="G3" i="7"/>
  <c r="J3" i="7" s="1"/>
  <c r="E4" i="7"/>
  <c r="E5" i="7"/>
  <c r="E6" i="7"/>
  <c r="E7" i="7"/>
  <c r="G7" i="7"/>
  <c r="J7" i="7" s="1"/>
  <c r="J8" i="7"/>
  <c r="J9" i="7"/>
  <c r="J10" i="7"/>
  <c r="J11" i="7"/>
  <c r="J12" i="7"/>
  <c r="E13" i="7"/>
  <c r="I13" i="7" s="1"/>
  <c r="J13" i="7"/>
  <c r="E14" i="7"/>
  <c r="I14" i="7"/>
  <c r="E15" i="7"/>
  <c r="E16" i="7"/>
  <c r="I16" i="7"/>
  <c r="J16" i="7"/>
  <c r="E17" i="7"/>
  <c r="I17" i="7" s="1"/>
  <c r="J17" i="7"/>
  <c r="E18" i="7"/>
  <c r="I18" i="7" s="1"/>
  <c r="J18" i="7"/>
  <c r="E19" i="7"/>
  <c r="I19" i="7" s="1"/>
  <c r="E20" i="7"/>
  <c r="I20" i="7" s="1"/>
  <c r="E21" i="7"/>
  <c r="I21" i="7" s="1"/>
  <c r="E22" i="7"/>
  <c r="I22" i="7" s="1"/>
  <c r="J22" i="7"/>
  <c r="E23" i="7"/>
  <c r="I23" i="7" s="1"/>
  <c r="J23" i="7"/>
  <c r="E24" i="7"/>
  <c r="I24" i="7"/>
  <c r="J24" i="7"/>
  <c r="H29" i="6"/>
  <c r="H28" i="6"/>
  <c r="H27" i="6"/>
  <c r="C28" i="6"/>
  <c r="G28" i="6" s="1"/>
  <c r="C27" i="6"/>
  <c r="G27" i="6" s="1"/>
  <c r="I31" i="7" l="1"/>
  <c r="J31" i="7"/>
  <c r="F4" i="4"/>
  <c r="E41" i="6"/>
  <c r="E5" i="6" s="1"/>
  <c r="E3" i="6"/>
  <c r="E51" i="6"/>
  <c r="E15" i="6" s="1"/>
  <c r="E43" i="6"/>
  <c r="E7" i="6" s="1"/>
  <c r="E40" i="6"/>
  <c r="E4" i="6" s="1"/>
  <c r="H30" i="6"/>
  <c r="G30" i="6"/>
  <c r="I7" i="7"/>
  <c r="I3" i="7"/>
  <c r="F5" i="4"/>
  <c r="G5" i="7"/>
  <c r="J5" i="7" s="1"/>
  <c r="G4" i="7"/>
  <c r="I4" i="7" s="1"/>
  <c r="G15" i="7"/>
  <c r="C36" i="6"/>
  <c r="G36" i="6" s="1"/>
  <c r="C35" i="6"/>
  <c r="C33" i="6"/>
  <c r="C32" i="6"/>
  <c r="C31" i="6"/>
  <c r="D36" i="6"/>
  <c r="E42" i="6" l="1"/>
  <c r="E6" i="6" s="1"/>
  <c r="G6" i="6"/>
  <c r="H6" i="6"/>
  <c r="G7" i="6"/>
  <c r="H7" i="6"/>
  <c r="H15" i="6"/>
  <c r="G15" i="6"/>
  <c r="G3" i="6"/>
  <c r="H3" i="6"/>
  <c r="G4" i="6"/>
  <c r="H4" i="6"/>
  <c r="G5" i="6"/>
  <c r="H5" i="6"/>
  <c r="I5" i="7"/>
  <c r="J15" i="7"/>
  <c r="I15" i="7"/>
  <c r="J4" i="7"/>
  <c r="G6" i="7"/>
  <c r="G35" i="6"/>
  <c r="G37" i="6" s="1"/>
  <c r="D35" i="6"/>
  <c r="D32" i="6"/>
  <c r="H32" i="6" s="1"/>
  <c r="D33" i="6"/>
  <c r="H33" i="6" s="1"/>
  <c r="G33" i="6"/>
  <c r="G32" i="6"/>
  <c r="G31" i="6"/>
  <c r="D31" i="6"/>
  <c r="H31" i="6" s="1"/>
  <c r="G26" i="6" l="1"/>
  <c r="H34" i="6"/>
  <c r="H26" i="6"/>
  <c r="G34" i="6"/>
  <c r="I6" i="7"/>
  <c r="I26" i="7" s="1"/>
  <c r="J6" i="7"/>
  <c r="J26" i="7" s="1"/>
  <c r="C225" i="1"/>
  <c r="C224" i="1"/>
  <c r="C223" i="1"/>
  <c r="C222" i="1"/>
  <c r="C210" i="1"/>
  <c r="C209" i="1"/>
  <c r="C208" i="1"/>
  <c r="C207" i="1"/>
  <c r="C204" i="1"/>
  <c r="C203" i="1"/>
  <c r="C202" i="1"/>
  <c r="C201" i="1"/>
  <c r="C199" i="1"/>
  <c r="C198" i="1"/>
  <c r="C197" i="1"/>
  <c r="C196" i="1"/>
  <c r="C195" i="1"/>
  <c r="C194" i="1"/>
  <c r="C11" i="1" l="1"/>
  <c r="E8" i="1"/>
  <c r="G8" i="1" s="1"/>
  <c r="C8" i="1"/>
  <c r="F8" i="1" s="1"/>
  <c r="E7" i="1"/>
  <c r="E6" i="1"/>
  <c r="F6" i="1" l="1"/>
  <c r="F7" i="1"/>
  <c r="G7" i="1" l="1"/>
  <c r="E5" i="1"/>
  <c r="G5" i="1" l="1"/>
  <c r="D11" i="1"/>
  <c r="E11" i="1"/>
  <c r="F11" i="1" l="1"/>
  <c r="G11" i="1"/>
  <c r="F5" i="1"/>
</calcChain>
</file>

<file path=xl/sharedStrings.xml><?xml version="1.0" encoding="utf-8"?>
<sst xmlns="http://schemas.openxmlformats.org/spreadsheetml/2006/main" count="517" uniqueCount="282">
  <si>
    <t>WP</t>
  </si>
  <si>
    <t>Activities List</t>
  </si>
  <si>
    <t xml:space="preserve">Cost per unit </t>
  </si>
  <si>
    <t xml:space="preserve">unit per duration </t>
  </si>
  <si>
    <t>Quantity</t>
  </si>
  <si>
    <t xml:space="preserve">Total Cost </t>
  </si>
  <si>
    <t>duration in days</t>
  </si>
  <si>
    <t>Human Resource</t>
  </si>
  <si>
    <t>Equipment</t>
  </si>
  <si>
    <t>References</t>
  </si>
  <si>
    <t>dis</t>
  </si>
  <si>
    <t>building  pond and linning</t>
  </si>
  <si>
    <t>site cleaning (subcontracting)</t>
  </si>
  <si>
    <t>https://books.google.com.qa/books?id=Fn3SwUueZaAC&amp;pg=PA209&amp;lpg=PA209&amp;dq=shade+steel+structure+for+fish+farm&amp;source=bl&amp;ots=LGWRNy-A_k&amp;sig=ACfU3U1_c1AnyjzOeJypjOvBQpq3GcuBWQ&amp;hl=en&amp;sa=X&amp;ved=2ahUKEwizz5zxk4fpAhUaWX0KHR69CqYQ6AEwCnoECAoQAQ#v=onepage&amp;q&amp;f=false</t>
  </si>
  <si>
    <t>Excavating</t>
  </si>
  <si>
    <t xml:space="preserve">40 excavators </t>
  </si>
  <si>
    <t>https://planningengineer.net/earth-moving-equipment-function-and-standard-productivity/</t>
  </si>
  <si>
    <t>Carry to collection</t>
  </si>
  <si>
    <t>-</t>
  </si>
  <si>
    <t xml:space="preserve">Compacting  &amp;Levelling pond </t>
  </si>
  <si>
    <t>5 Vibratory Roller</t>
  </si>
  <si>
    <t>STANDARD PRODUCTIVITY RATES</t>
  </si>
  <si>
    <t>fish farming pond liner(hdpe)</t>
  </si>
  <si>
    <t>Construction of shade</t>
  </si>
  <si>
    <t>buliding steel structure</t>
  </si>
  <si>
    <t>https://www.alibaba.com/product-detail/Low-Cost-Prefab-Industrial-Shed-Designs_60767642249.html?spm=a2700.galleryofferlist.0.0.3e714116XpxTy3</t>
  </si>
  <si>
    <t>wraping shade</t>
  </si>
  <si>
    <t>50 workers</t>
  </si>
  <si>
    <t>https://www.alibaba.com/product-detail/HDPE-Plastic-UV-Treated-Agriculture-Farming_62546812851.html?spm=a2700.galleryofferlist.0.0.3482b4efbueYBU&amp;s=p&amp;bypass=true</t>
  </si>
  <si>
    <t>The Specification and Design Drawings are intended to indicate the nature and scope of the Project. The Contractor shall be responsible for the preparation of detailed coordinated working drawings and for installation of plant of the correct capacity, as per approved drawings and in line with the best prevailing engineering practices</t>
  </si>
  <si>
    <t>The Contractor shall guarantee for the efficient performance of various equipment which shall not be less than the specified ratings when working under the operating conditions for respective items as shown in the drawings</t>
  </si>
  <si>
    <t>All works are to be carried out in accordance with relevant internationally/ locally accepted codes of practice as well as current regulations</t>
  </si>
  <si>
    <t>The Contractor to provide return air openings of suitable size at all appropriate locations</t>
  </si>
  <si>
    <t>Dampers shall be placed in ducts at every branch supply, whether or not indicated on the drawings for the proper volume control and balancing of the system</t>
  </si>
  <si>
    <t>The Contractor is advised to read carefully the notes on pricing for the Air-Conditioning installation while pricing works in this section</t>
  </si>
  <si>
    <t>The rates for all Plumber's and Engineer’s work are to include for assembling and jointing together including jointing material; cutting and pinning in or building in all pipe and duct supports and subsequent marking good and all cutting away and making good and all pipe sleeves</t>
  </si>
  <si>
    <t>The rates for ductwork to include for all joints in the running length, brackets, hangers &amp; other supports</t>
  </si>
  <si>
    <t>The rates for thermal insulation are to include for working around and over ancillaries, fittings, flanges and all other obstructions</t>
  </si>
  <si>
    <t>The rates for all pipe and ductwork are to include for cutting and pinning in; building in; plugging and screwing or nailing of brackets, hangers or other supports; for all subsequent making good and for forming or cutting all holes; cutting away and making good</t>
  </si>
  <si>
    <t>DUCTWORK</t>
  </si>
  <si>
    <t>Galvanized sheet ductwork and fittings to SMACNA standard fixed complete to R.C. slab soffits including test holes, access panels, hanging system, supports and turning vanes/splitters for bends and and branches, bends, branch connections and transformation pieces, bell mouths, plenum boxs etc. as per drawings and specification</t>
  </si>
  <si>
    <t>Ducting</t>
  </si>
  <si>
    <t>Ground floor</t>
  </si>
  <si>
    <t>Sq. M.</t>
  </si>
  <si>
    <t>First floor</t>
  </si>
  <si>
    <t>Ducting-Joints</t>
  </si>
  <si>
    <t>Approved type flexible duct connections as per drawings and specification</t>
  </si>
  <si>
    <t>Rectangular connections</t>
  </si>
  <si>
    <t>Item</t>
  </si>
  <si>
    <t>Circular connections</t>
  </si>
  <si>
    <t>Dampers, Ducting-Turns, Access Doors and Openings as per the drawings and specification</t>
  </si>
  <si>
    <t>Non Return Dampers as per drawings and specification</t>
  </si>
  <si>
    <t>Roof</t>
  </si>
  <si>
    <t>Volume Control Dampers of various sizes as per the drawings and specification</t>
  </si>
  <si>
    <t>No</t>
  </si>
  <si>
    <t>Shutter, Grilles, Diffusers and Equalisers as per the drawings and specification</t>
  </si>
  <si>
    <t>4 Way Air Diffusers</t>
  </si>
  <si>
    <t>Return Air Grilles</t>
  </si>
  <si>
    <t>Linear Slot Diffusers; 3 slots with Plenum Box as per the drawings and specification</t>
  </si>
  <si>
    <t xml:space="preserve">Sub - Total (HVAC Works) </t>
  </si>
  <si>
    <t>C.O. Sub - Total (HVAC Works)</t>
  </si>
  <si>
    <t>Fresh and Exhaust Air Louvers;  as per the drawings and specifications.</t>
  </si>
  <si>
    <t>Fire Dampers as per drawings and specifications.</t>
  </si>
  <si>
    <t>Fire Dampers with access doors</t>
  </si>
  <si>
    <t>Motorized Fire and Smoke Dampers</t>
  </si>
  <si>
    <t>Sound Attenuators</t>
  </si>
  <si>
    <t>Air Curtains</t>
  </si>
  <si>
    <t>THERMAL INSULATION</t>
  </si>
  <si>
    <t>Insulation To Ductwork</t>
  </si>
  <si>
    <t xml:space="preserve">FSK faced rigid fiberglass insulation, secured to ducts by wrapped with fiber cloth and coated with sealfas insulation as specified </t>
  </si>
  <si>
    <t>Sq.M.</t>
  </si>
  <si>
    <t>Aluminium Cladding to Exposed Ductwork as per the drawings and specification</t>
  </si>
  <si>
    <t>Acoustic Insulation</t>
  </si>
  <si>
    <t>25 mm thick internal lined acoustic material from strong, resilient glass fibers of density not less than 48 kg/m3 bounded to ductwork with a thermosetting resin faced with black woven glass fabric  as per drawings and specification</t>
  </si>
  <si>
    <t>To all duct work from the face of Indoor/ Outdoor Units/ AHU/ FAHU up to 3000 mm from the inlet/outlet of respective unit</t>
  </si>
  <si>
    <t>25 mm Thick internal lined acoustic insulation of 48 kg/m3 for all liner diffuser/supply air grille plenum boxes</t>
  </si>
  <si>
    <t>PLANT AND EQUIPMENT</t>
  </si>
  <si>
    <t>Split Central DX Air Conditioning Units</t>
  </si>
  <si>
    <r>
      <t>Split Central DX Air Conditioning Units, working at 45</t>
    </r>
    <r>
      <rPr>
        <vertAlign val="superscript"/>
        <sz val="11"/>
        <rFont val="Arial"/>
        <family val="2"/>
      </rPr>
      <t>0</t>
    </r>
    <r>
      <rPr>
        <sz val="11"/>
        <rFont val="Arial"/>
        <family val="2"/>
      </rPr>
      <t>C outside temperature, from an approved Manufacturer  as per the drawings and specification</t>
    </r>
  </si>
  <si>
    <t>Refrigerant Piping with insulation and all accessories as per drawings and specifications and as recommended by the manufacturer</t>
  </si>
  <si>
    <t>Variable Refrigerant Flow System VRF; Embassy Building</t>
  </si>
  <si>
    <t>Variable Refrigerant Flow VRF indoor and outdoor units from an approved Manufacturer</t>
  </si>
  <si>
    <t>Outdoor Units</t>
  </si>
  <si>
    <t>Outdoor Unit (OU-UB); 34 Ton</t>
  </si>
  <si>
    <t>Indoor Units</t>
  </si>
  <si>
    <t>I.U. -1; 1 Ton</t>
  </si>
  <si>
    <t>I.U. -2; 1.3 Ton</t>
  </si>
  <si>
    <t>I.U. -3; 1.6 Ton</t>
  </si>
  <si>
    <t>I.U. -4; 2 Ton</t>
  </si>
  <si>
    <t>Refrigerant Piping with insulation and all accessories as per the drawings and specification and as recommended by the manufacturer</t>
  </si>
  <si>
    <t>Fire Rated Exhaust fans  as per the drawings and specification</t>
  </si>
  <si>
    <t>EF - 1; 300 CFM Wall mounted</t>
  </si>
  <si>
    <t>FIRE FIGHTING WORKS</t>
  </si>
  <si>
    <t>Pipe works for FHR system and wet/ dry risers as per the drawings and specifications.</t>
  </si>
  <si>
    <t>80 mm</t>
  </si>
  <si>
    <t>M</t>
  </si>
  <si>
    <t>40 mm</t>
  </si>
  <si>
    <t>Fire Extinguishers</t>
  </si>
  <si>
    <t>Fire Extinguisher 6 kg Dry powder</t>
  </si>
  <si>
    <t>No.</t>
  </si>
  <si>
    <t>Accessories as per drawings &amp; specifications</t>
  </si>
  <si>
    <t>Fire Hose reel Cabinet including</t>
  </si>
  <si>
    <t>Fire hose reel 30 M.</t>
  </si>
  <si>
    <t>Hose valve</t>
  </si>
  <si>
    <t>Fire Extinguishers (5.5 Kg, D.P. (1 No.) &amp; Foam water 9 Lit. (1 No.)</t>
  </si>
  <si>
    <t>Fire Blanket</t>
  </si>
  <si>
    <t>Electrical Works</t>
  </si>
  <si>
    <t>MAINS AND SUBMAINS INSTALLATION</t>
  </si>
  <si>
    <t>Supply, installation, testing and commissioning of and transformers complete as detailed on the drawings and as described in the Specifications; installed on prepared base.</t>
  </si>
  <si>
    <t>Sub-main switchboard  MDB-1</t>
  </si>
  <si>
    <t>Distribution boards complete as detailed on the Drawings and as described in the Specification; fixing to prepared base or wall mounted.</t>
  </si>
  <si>
    <t>Distribution board DB-GF-U</t>
  </si>
  <si>
    <t>Distribution board DB-FF-U</t>
  </si>
  <si>
    <t>Isolators complete as specified; include for supports and protection covers necessary.</t>
  </si>
  <si>
    <t xml:space="preserve">80 Amp TPN isolator, weatherproof. </t>
  </si>
  <si>
    <t>CABLES</t>
  </si>
  <si>
    <t>XLPE/ SWA/ PVC cables including termination as specified</t>
  </si>
  <si>
    <t>16 mm² Four core cable</t>
  </si>
  <si>
    <t>25 mm² Four core cable</t>
  </si>
  <si>
    <t>120 mm² Four core cable</t>
  </si>
  <si>
    <t>PVC / ECC cables including terminations.</t>
  </si>
  <si>
    <t>16 mm² Single core cable</t>
  </si>
  <si>
    <t>70 mm² Single core cable</t>
  </si>
  <si>
    <t>LIGHTING INSTALLATION</t>
  </si>
  <si>
    <t>Wiring to the following points in PVC cable in conduit or trunking as specified</t>
  </si>
  <si>
    <t xml:space="preserve">General lighting points </t>
  </si>
  <si>
    <t xml:space="preserve">One-way, One-Gang switch points </t>
  </si>
  <si>
    <t xml:space="preserve">One-way, Two-Gang switch points </t>
  </si>
  <si>
    <t xml:space="preserve">One-way, Three-Gang switch points </t>
  </si>
  <si>
    <t xml:space="preserve">Two-way switch points </t>
  </si>
  <si>
    <t>Sub - Total (Electrical Works)</t>
  </si>
  <si>
    <t>C.O. Sub - Total (Electrical Works)</t>
  </si>
  <si>
    <t>Supply and fix light fittings complete as specified and shown on drawings including all holders, ceiling roses, bulbs/fluorescent tubes and final connections; fixing in position including all necessary suspension chains, rods, brackets and support framework</t>
  </si>
  <si>
    <t>GENERAL LIGHT FITTINGS</t>
  </si>
  <si>
    <t>2x36W, T8 Surface mounted Fluorescent luminaire</t>
  </si>
  <si>
    <t>2x18W Compact Fluorescent luminaire waterproof IP45</t>
  </si>
  <si>
    <t>50W Metal Halide luminaire (first type in the Symbols and Abbreviations table in Drawing # E-00)</t>
  </si>
  <si>
    <t>50W Metal Halide luminaire (seventh type in the Symbols and Abbreviations table in Drawing # E-00)</t>
  </si>
  <si>
    <t>50W Metal Halide luminaire (seventeenth type in the Symbols and Abbreviations table in Drawing # E-00)</t>
  </si>
  <si>
    <t>Waterproof Mirror Light, IP 45</t>
  </si>
  <si>
    <t>LIGHT FITTINGS WITH EMERGENCY BATTERY BACK-UP</t>
  </si>
  <si>
    <t>2x 36W, T8 Surface mounted Fluorescent luminaire with emergency battery back-Up</t>
  </si>
  <si>
    <t>50W Metal Halide luminaire (first type in the Symbols and Abbreviations table in Drawing # E-00) with emergency battery back-Up</t>
  </si>
  <si>
    <t>50W Metal Halide luminaire (seventh type in the Symbols and Abbreviations table in Drawing # E-00) with emergency battery back-Up</t>
  </si>
  <si>
    <t>Supply and fix the following light switches including cover plates, grid boxes, earth terminals, phase barriers, final connections and fixing in position, all as specified.</t>
  </si>
  <si>
    <t>One-way, One-Gang switch</t>
  </si>
  <si>
    <t xml:space="preserve">One-way, Two-Gang switch </t>
  </si>
  <si>
    <t xml:space="preserve">One-way, Three-Gang switch </t>
  </si>
  <si>
    <t xml:space="preserve">Two-way switch </t>
  </si>
  <si>
    <t xml:space="preserve">Sub - Total (Electrical Works) </t>
  </si>
  <si>
    <t>SMALL POWER INSTALLATION</t>
  </si>
  <si>
    <t>Wiring to the following points in PVC cable in conduit or trunking as specified.</t>
  </si>
  <si>
    <t>13 A Single Socket Outlet Point</t>
  </si>
  <si>
    <t>13 A Twin Socket Outlet Point</t>
  </si>
  <si>
    <t>Flex Outlet Point</t>
  </si>
  <si>
    <t>20/ 45 A Double Pole Switch Point</t>
  </si>
  <si>
    <t>13A fuse Switched Spur Point for FCUs/ IDUs</t>
  </si>
  <si>
    <t>Unswitched spur unit Point for CCTV cameras</t>
  </si>
  <si>
    <t>Supply and fix the following flush mounted general power accessories including plate boxes, earth terminals etc., final connections and fixing in position all as specified.</t>
  </si>
  <si>
    <t>13A Single Socket Outlet</t>
  </si>
  <si>
    <t xml:space="preserve">13A Twin Socket Outlet </t>
  </si>
  <si>
    <t xml:space="preserve">Flexible Outlet </t>
  </si>
  <si>
    <t xml:space="preserve">20 / 45 A Double Pole Switch </t>
  </si>
  <si>
    <t>13A fuse Switched Spur outlet for FCUs/ IDUs</t>
  </si>
  <si>
    <t>Unswitched spur unit outlet for CCTV cameras</t>
  </si>
  <si>
    <t>CABLE TRAYS AND TRUNKING</t>
  </si>
  <si>
    <t>Galvanized steel cable trays, perforated heavy duty return flange type including supporting with sheradised threaded rods and galvanized steel heavy duty profiles.</t>
  </si>
  <si>
    <t>Galvanized steel skirting trunking complete with tees, bends, intersections etc. all as specified</t>
  </si>
  <si>
    <t xml:space="preserve">50 x 50 mm </t>
  </si>
  <si>
    <t xml:space="preserve">100 x 100 mm </t>
  </si>
  <si>
    <t>DATA &amp; TELECOMMUNICATION</t>
  </si>
  <si>
    <t>TELECOMMUNICATION INSTALLATIONS</t>
  </si>
  <si>
    <t>Provide and install telephone fittings and accessories to Q-Tel approval, including all conduits and ducts with fittings, supports etc.</t>
  </si>
  <si>
    <t xml:space="preserve">Telephone outlet point </t>
  </si>
  <si>
    <t xml:space="preserve">Allow for block wiring as specified including TJB, Pull box etc. to complete the work in all respect and as per OOREDOO requirement. </t>
  </si>
  <si>
    <t>Solar Power system</t>
  </si>
  <si>
    <t>Installing Solar Panels</t>
  </si>
  <si>
    <t>https://www.alibaba.com/product-detail/Colombia-Hot-Selling-on-grid-solar_60470121347.html?spm=a2700.galleryofferlist.0.0.24a018578XVzoi</t>
  </si>
  <si>
    <t>Installing Solar Charge Controllers</t>
  </si>
  <si>
    <t>https://www.alibaba.com/product-detail/Lumiax-12V-24V-40A-MPPT-Solar_60714297192.html?spm=a2700.galleryofferlist.0.0.7d792440hoHJJB</t>
  </si>
  <si>
    <t>Installing Battery System</t>
  </si>
  <si>
    <t>https://www.alibaba.com/product-detail/Solar-battery-2v-2000ah-off-grid_610924741.html?spm=a2700.galleryofferlist.0.0.543b2582sfLUgb</t>
  </si>
  <si>
    <t>Installing Inverters</t>
  </si>
  <si>
    <t>https://www.alibaba.com/product-detail/2000W-3KW-4KW-5KW-Solar-Off_62003466366.html?spm=a2700.galleryofferlist.0.0.24a018578XVzoi</t>
  </si>
  <si>
    <t>MEP Work</t>
  </si>
  <si>
    <t xml:space="preserve"> Monitoring Sensors</t>
  </si>
  <si>
    <t>Installing  sensors</t>
  </si>
  <si>
    <t>https://www.the-iot-marketplace.com/libelium-thing-lorawan-smart-fish-farming-solution-kit#/5-choose_one-eu_863_870_mhz</t>
  </si>
  <si>
    <t>Automated Harvesting System</t>
  </si>
  <si>
    <t>Installing Clam Shell Grader</t>
  </si>
  <si>
    <t>fabricated according to available</t>
  </si>
  <si>
    <t>Testing Mechanism</t>
  </si>
  <si>
    <t>Automated Feeding System</t>
  </si>
  <si>
    <t>Installing Feeding Mechanism</t>
  </si>
  <si>
    <t>Water Quality Management System</t>
  </si>
  <si>
    <t>Installing reverse osmosis system</t>
  </si>
  <si>
    <t>https://www.alibaba.com/product-detail/High-efficiency-water-treatment-equipment-for_60680041563.html?spm=a2700.galleryofferlist.0.0.569a6b2eY2pdDz&amp;bypass=true</t>
  </si>
  <si>
    <t>Installing Fish Waste Disposal System</t>
  </si>
  <si>
    <t>https://www.alibaba.com/product-detail/Fish-waste-recycling-machine-condensate-recovery_60782955935.html?spm=a2700.galleryofferlist.0.0.6adb595cWD9vYN</t>
  </si>
  <si>
    <t>Installing Mechanical Filters</t>
  </si>
  <si>
    <t>https://www.alibaba.com/product-detail/Aquaculture-fish-farm-drum-filter-for_60704241767.html?spm=a2700.galleryofferlist.0.0.af2f192bvvYtmw&amp;s=p</t>
  </si>
  <si>
    <t>Installing Bio Filters</t>
  </si>
  <si>
    <t>https://www.alibaba.com/product-detail/Fish-pond-recirculation-water-aquaculture-bio_60607468311.html?spm=a2700.galleryofferlist.0.0.37417988r57p8P</t>
  </si>
  <si>
    <t>Installing UV disinfection filters</t>
  </si>
  <si>
    <t>https://www.alibaba.com/product-detail/Aquacultural-Fish-Farm-Circulating-Water-Disinfection_60510886638.html?spm=a2700.galleryofferlist.0.0.5563626dAVBEag&amp;s=p</t>
  </si>
  <si>
    <t>Installing degassing filters</t>
  </si>
  <si>
    <t>https://www.alibaba.com/product-detail/Chinese-factory-co2-degassing-for-ras_62540604689.html?spm=a2700.galleryofferlist.0.0.3cc24c21exnYPN&amp;bypass=true</t>
  </si>
  <si>
    <t>Installing air pumps</t>
  </si>
  <si>
    <t>https://www.alibaba.com/product-detail/220V-700w-air-pump-for-fish_1863126221.html?spm=a2700.galleryofferlist.0.0.418e529aD7x0Gq&amp;s=p</t>
  </si>
  <si>
    <t>unit</t>
  </si>
  <si>
    <t>Acceptance Criteria</t>
  </si>
  <si>
    <t xml:space="preserve">SUB STRUCTURE &amp; SUPER STRUCTURE </t>
  </si>
  <si>
    <t>Clearing &amp; Grubbing</t>
  </si>
  <si>
    <t>inspection by engineer</t>
  </si>
  <si>
    <t xml:space="preserve">Excavating </t>
  </si>
  <si>
    <t>Cu.M.</t>
  </si>
  <si>
    <t>dimentional accuracy +- 75mm</t>
  </si>
  <si>
    <t>Filling</t>
  </si>
  <si>
    <t>Disposal of material</t>
  </si>
  <si>
    <t xml:space="preserve">performing  Termite control treatment         </t>
  </si>
  <si>
    <t xml:space="preserve">Plain insitu concrete with OPC </t>
  </si>
  <si>
    <t>installing Column footings</t>
  </si>
  <si>
    <t>Columns &amp; Walls up to plinth</t>
  </si>
  <si>
    <t>Plinth beams</t>
  </si>
  <si>
    <t>Walls</t>
  </si>
  <si>
    <t>constructing Grade slab</t>
  </si>
  <si>
    <t>https://hipages.com.au/article/cost_of_concrete_per_m3</t>
  </si>
  <si>
    <t>installing High yield deformed re-bar</t>
  </si>
  <si>
    <t>Kgs.</t>
  </si>
  <si>
    <t>qa/qc engineer approval &amp; civil enginner</t>
  </si>
  <si>
    <t>https://www.alibaba.com/product-detail/6-8-10-12-14-16_62210784624.html?spm=a2700.7724857.normalList.2.25e2436boQDC4q&amp;s=p&amp;fullFirstScreen=true</t>
  </si>
  <si>
    <t>Finishing cont.sybstructure</t>
  </si>
  <si>
    <t>Beams / Lintels / Ribs</t>
  </si>
  <si>
    <t>Columns</t>
  </si>
  <si>
    <t>Slabs and Projections</t>
  </si>
  <si>
    <t>Steps and staircases</t>
  </si>
  <si>
    <t>Parapet Wall</t>
  </si>
  <si>
    <t>Insulation</t>
  </si>
  <si>
    <t>Separation Layer</t>
  </si>
  <si>
    <t>Surfacing</t>
  </si>
  <si>
    <t>Finishing (Subcontracted)</t>
  </si>
  <si>
    <t>Air-Conditioning Works (HVAC Works)</t>
  </si>
  <si>
    <t xml:space="preserve">Ducting &amp; accessories </t>
  </si>
  <si>
    <t>qa/qc engineer approval &amp; MEP enginner</t>
  </si>
  <si>
    <t>installing Outdoor Unit (OU-UB); 10 Ton</t>
  </si>
  <si>
    <t>installing indoor unit -1; 5 Ton</t>
  </si>
  <si>
    <t>https://www.alibaba.com/product-detail/20TON-Rooftop-air-cooled-unit_60380990411.html?spm=a2700.details.deiletai6.8.40695fb5BztEpt&amp;bypass=true</t>
  </si>
  <si>
    <t>Packaging System</t>
  </si>
  <si>
    <t>Installing conveyor belt system</t>
  </si>
  <si>
    <t>https://www.alibaba.com/product-detail/China-manufacturer-customized-conveyor-belt_60404043081.html?spm=a2700.details.deiletai6.2.4ec97704q3TO9b</t>
  </si>
  <si>
    <t>Installing individual Quick Freezing (QF) tunnel</t>
  </si>
  <si>
    <t>https://www.alibaba.com/product-detail/Logo-Customization-Individual-Freezing-Quick-Leading_62552035480.html?spm=a2700.galleryofferlist.0.0.754e32cdbsv93Q&amp;s=p&amp;bypass=true</t>
  </si>
  <si>
    <t xml:space="preserve">Installing Bag Sealing Tape Machinery </t>
  </si>
  <si>
    <t>https://www.alibaba.com/product-detail/FRM-1120LD-HUALIAN-Bag-Sealing-Tape_1507683058.html?spm=a2700.galleryofferlist.0.0.3fbe2298cdxgi1&amp;bypass=true</t>
  </si>
  <si>
    <t>Storage system</t>
  </si>
  <si>
    <t>Installing racks</t>
  </si>
  <si>
    <t>https://www.alibaba.com/product-detail/Food-Rack-System-Food-Or-Cold_62441503848.html?spm=a2700.galleryofferlist.0.0.6cbc3f9dtTBGcU&amp;s=p&amp;bypass=true</t>
  </si>
  <si>
    <t>Installing roll up doors</t>
  </si>
  <si>
    <t>https://www.alibaba.com/product-detail/Packaging-Customization-Up-Door-Roll-Fast_60838677269.html?spm=a2700.drainage_lp_1.0.0.45e36dd0a2Z7gA&amp;s=p&amp;bypass=true</t>
  </si>
  <si>
    <t>item number</t>
  </si>
  <si>
    <t>WP ID</t>
  </si>
  <si>
    <t>Outdoor Unit (OU-UB); 20 Ton</t>
  </si>
  <si>
    <t>indoor unit -1; 1 Ton</t>
  </si>
  <si>
    <t>indoor unit -2; 1.3 Ton</t>
  </si>
  <si>
    <t>consumtion</t>
  </si>
  <si>
    <t>for</t>
  </si>
  <si>
    <t>X</t>
  </si>
  <si>
    <t>=</t>
  </si>
  <si>
    <t xml:space="preserve">for </t>
  </si>
  <si>
    <t>total number of ponds</t>
  </si>
  <si>
    <t>9.375 tons per pond every 6 months</t>
  </si>
  <si>
    <t>http://www.fao.org/3/AC155E16.htm</t>
  </si>
  <si>
    <t>HA</t>
  </si>
  <si>
    <t>m^2</t>
  </si>
  <si>
    <t xml:space="preserve">AREA </t>
  </si>
  <si>
    <t>https://steemit.com/engineering/@kharrazi/excavator-and-calculate-its-productivity</t>
  </si>
  <si>
    <t>m^3</t>
  </si>
  <si>
    <t>excvator m^3 per hr</t>
  </si>
  <si>
    <t xml:space="preserve">number of excvator </t>
  </si>
  <si>
    <t xml:space="preserve">number of hrs to excvate </t>
  </si>
  <si>
    <t>days</t>
  </si>
  <si>
    <t>HIGHT OF 2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</si>
</sst>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8" formatCode="&quot;$&quot;#,##0.00_);[Red]\(&quot;$&quot;#,##0.00\)"/>
    <numFmt numFmtId="44" formatCode="_(&quot;$&quot;* #,##0.00_);_(&quot;$&quot;* \(#,##0.00\);_(&quot;$&quot;* &quot;-&quot;??_);_(@_)"/>
    <numFmt numFmtId="43" formatCode="_(* #,##0.00_);_(* \(#,##0.00\);_(* &quot;-&quot;??_);_(@_)"/>
    <numFmt numFmtId="164" formatCode="0.000\ &quot;$ /Square meter&quot;"/>
    <numFmt numFmtId="165" formatCode="0.00\ &quot;m^3 /hr&quot;"/>
    <numFmt numFmtId="166" formatCode="0.00\ &quot;m^3&quot;"/>
    <numFmt numFmtId="167" formatCode="0.00\ &quot;m^2/hr&quot;"/>
    <numFmt numFmtId="168" formatCode="0.00\ &quot;m^2/(10hr day)&quot;"/>
    <numFmt numFmtId="169" formatCode="0.00\ &quot;m^2&quot;"/>
    <numFmt numFmtId="170" formatCode="_(* #,##0_);_(* \(#,##0\);_(* &quot;-&quot;??_);_(@_)"/>
    <numFmt numFmtId="171" formatCode="_-* #,##0.00_-;\-* #,##0.00_-;_-* &quot;-&quot;??_-;_-@_-"/>
    <numFmt numFmtId="172" formatCode="0.00\ &quot;hr&quot;"/>
    <numFmt numFmtId="173" formatCode="0.000"/>
    <numFmt numFmtId="174" formatCode="0.0"/>
    <numFmt numFmtId="175" formatCode="0.00\ &quot;per 10 day per labor unit&quot;"/>
    <numFmt numFmtId="176" formatCode="0\ &quot;tons&quot;"/>
    <numFmt numFmtId="177" formatCode="General\ &quot;ha&quot;"/>
    <numFmt numFmtId="178" formatCode="0.00\ &quot;ton/ha&quot;"/>
    <numFmt numFmtId="179" formatCode="0.00\ &quot;tons&quot;"/>
    <numFmt numFmtId="180" formatCode="0.00\ &quot;Year&quot;"/>
  </numFmts>
  <fonts count="23">
    <font>
      <sz val="11"/>
      <color theme="1"/>
      <name val="Calibri"/>
      <family val="2"/>
      <scheme val="minor"/>
    </font>
    <font>
      <sz val="11"/>
      <color theme="1"/>
      <name val="Calibri"/>
      <family val="2"/>
      <scheme val="minor"/>
    </font>
    <font>
      <u/>
      <sz val="11"/>
      <color theme="10"/>
      <name val="Calibri"/>
      <family val="2"/>
      <scheme val="minor"/>
    </font>
    <font>
      <b/>
      <sz val="11"/>
      <color theme="1"/>
      <name val="Calibri"/>
      <family val="2"/>
      <scheme val="minor"/>
    </font>
    <font>
      <sz val="11"/>
      <color rgb="FF333333"/>
      <name val="Roboto"/>
    </font>
    <font>
      <sz val="10"/>
      <name val="Arial"/>
      <family val="2"/>
    </font>
    <font>
      <sz val="10"/>
      <color indexed="8"/>
      <name val="Arial"/>
      <family val="2"/>
    </font>
    <font>
      <sz val="11"/>
      <name val="Arial"/>
      <family val="2"/>
    </font>
    <font>
      <b/>
      <sz val="11"/>
      <name val="Arial"/>
      <family val="2"/>
    </font>
    <font>
      <sz val="12"/>
      <name val="Times New Roman"/>
      <family val="1"/>
    </font>
    <font>
      <sz val="11"/>
      <color indexed="8"/>
      <name val="Arial"/>
      <family val="2"/>
    </font>
    <font>
      <sz val="11"/>
      <color theme="1"/>
      <name val="Arial"/>
      <family val="2"/>
    </font>
    <font>
      <b/>
      <sz val="11"/>
      <color indexed="8"/>
      <name val="Arial"/>
      <family val="2"/>
    </font>
    <font>
      <vertAlign val="superscript"/>
      <sz val="11"/>
      <name val="Arial"/>
      <family val="2"/>
    </font>
    <font>
      <b/>
      <sz val="11"/>
      <color theme="1"/>
      <name val="Arial"/>
      <family val="2"/>
    </font>
    <font>
      <b/>
      <sz val="9"/>
      <color rgb="FF333333"/>
      <name val="Roboto"/>
    </font>
    <font>
      <b/>
      <sz val="10"/>
      <color rgb="FF333333"/>
      <name val="Roboto"/>
    </font>
    <font>
      <sz val="8"/>
      <name val="Arial"/>
    </font>
    <font>
      <sz val="11"/>
      <name val="Arial"/>
    </font>
    <font>
      <b/>
      <sz val="11"/>
      <name val="Arial"/>
    </font>
    <font>
      <sz val="11"/>
      <color rgb="FF333333"/>
      <name val="Tahoma"/>
    </font>
    <font>
      <sz val="11"/>
      <color rgb="FFFF0000"/>
      <name val="Calibri"/>
      <family val="2"/>
      <scheme val="minor"/>
    </font>
    <font>
      <sz val="8"/>
      <name val="Calibri"/>
      <family val="2"/>
      <scheme val="minor"/>
    </font>
  </fonts>
  <fills count="5">
    <fill>
      <patternFill patternType="none"/>
    </fill>
    <fill>
      <patternFill patternType="gray125"/>
    </fill>
    <fill>
      <patternFill patternType="solid">
        <fgColor theme="0" tint="-0.14999847407452621"/>
        <bgColor theme="0" tint="-0.14999847407452621"/>
      </patternFill>
    </fill>
    <fill>
      <patternFill patternType="solid">
        <fgColor rgb="FFFFFF00"/>
        <bgColor indexed="64"/>
      </patternFill>
    </fill>
    <fill>
      <patternFill patternType="solid">
        <fgColor theme="9" tint="-0.249977111117893"/>
        <bgColor indexed="64"/>
      </patternFill>
    </fill>
  </fills>
  <borders count="14">
    <border>
      <left/>
      <right/>
      <top/>
      <bottom/>
      <diagonal/>
    </border>
    <border>
      <left/>
      <right/>
      <top/>
      <bottom style="thin">
        <color theme="1"/>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1" tint="0.34998626667073579"/>
      </right>
      <top style="thin">
        <color theme="1" tint="0.34998626667073579"/>
      </top>
      <bottom/>
      <diagonal/>
    </border>
    <border>
      <left style="thin">
        <color theme="1" tint="0.34998626667073579"/>
      </left>
      <right style="thin">
        <color indexed="64"/>
      </right>
      <top style="thin">
        <color theme="1" tint="0.34998626667073579"/>
      </top>
      <bottom/>
      <diagonal/>
    </border>
    <border>
      <left style="thin">
        <color indexed="64"/>
      </left>
      <right style="thin">
        <color indexed="64"/>
      </right>
      <top style="thin">
        <color theme="1" tint="0.34998626667073579"/>
      </top>
      <bottom/>
      <diagonal/>
    </border>
    <border>
      <left style="thin">
        <color indexed="64"/>
      </left>
      <right style="thin">
        <color theme="1" tint="0.34998626667073579"/>
      </right>
      <top/>
      <bottom/>
      <diagonal/>
    </border>
    <border>
      <left style="medium">
        <color indexed="64"/>
      </left>
      <right style="medium">
        <color indexed="64"/>
      </right>
      <top style="thin">
        <color indexed="64"/>
      </top>
      <bottom style="thin">
        <color indexed="64"/>
      </bottom>
      <diagonal/>
    </border>
  </borders>
  <cellStyleXfs count="26">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1" fillId="0" borderId="0"/>
    <xf numFmtId="43" fontId="1" fillId="0" borderId="0" applyFont="0" applyFill="0" applyBorder="0" applyAlignment="0" applyProtection="0"/>
    <xf numFmtId="0" fontId="6" fillId="0" borderId="0"/>
    <xf numFmtId="43" fontId="5" fillId="0" borderId="0" applyFont="0" applyFill="0" applyBorder="0" applyAlignment="0" applyProtection="0"/>
    <xf numFmtId="0" fontId="9" fillId="0" borderId="0"/>
    <xf numFmtId="0" fontId="5" fillId="0" borderId="0"/>
    <xf numFmtId="0" fontId="5" fillId="0" borderId="0"/>
    <xf numFmtId="0" fontId="9" fillId="0" borderId="0"/>
    <xf numFmtId="43" fontId="9" fillId="0" borderId="0" applyFont="0" applyFill="0" applyBorder="0" applyAlignment="0" applyProtection="0"/>
    <xf numFmtId="0" fontId="9" fillId="0" borderId="0"/>
    <xf numFmtId="43" fontId="5" fillId="0" borderId="0" applyFont="0" applyFill="0" applyBorder="0" applyAlignment="0" applyProtection="0"/>
    <xf numFmtId="0" fontId="9" fillId="0" borderId="0"/>
    <xf numFmtId="171" fontId="5" fillId="0" borderId="0" applyFont="0" applyFill="0" applyBorder="0" applyAlignment="0" applyProtection="0"/>
    <xf numFmtId="0" fontId="9" fillId="0" borderId="0"/>
    <xf numFmtId="0" fontId="9" fillId="0" borderId="0"/>
    <xf numFmtId="0" fontId="9" fillId="0" borderId="0"/>
    <xf numFmtId="0" fontId="9" fillId="0" borderId="0"/>
    <xf numFmtId="0" fontId="5" fillId="0" borderId="0"/>
    <xf numFmtId="0" fontId="9" fillId="0" borderId="0"/>
    <xf numFmtId="0" fontId="9" fillId="0" borderId="0"/>
    <xf numFmtId="0" fontId="9" fillId="0" borderId="0"/>
    <xf numFmtId="0" fontId="1" fillId="0" borderId="0"/>
    <xf numFmtId="9" fontId="5" fillId="0" borderId="0" applyFont="0" applyFill="0" applyBorder="0" applyAlignment="0" applyProtection="0"/>
  </cellStyleXfs>
  <cellXfs count="192">
    <xf numFmtId="0" fontId="0" fillId="0" borderId="0" xfId="0"/>
    <xf numFmtId="0" fontId="0" fillId="0" borderId="0" xfId="0" applyAlignment="1">
      <alignment horizontal="center"/>
    </xf>
    <xf numFmtId="0" fontId="0" fillId="0" borderId="0" xfId="0" applyAlignment="1">
      <alignment horizontal="left"/>
    </xf>
    <xf numFmtId="0" fontId="0" fillId="0" borderId="0" xfId="0" applyAlignment="1">
      <alignment horizontal="left" indent="1"/>
    </xf>
    <xf numFmtId="44" fontId="0" fillId="0" borderId="0" xfId="1" applyFont="1" applyAlignment="1">
      <alignment horizontal="center"/>
    </xf>
    <xf numFmtId="165" fontId="0" fillId="0" borderId="0" xfId="0" applyNumberFormat="1" applyAlignment="1">
      <alignment horizontal="center"/>
    </xf>
    <xf numFmtId="166" fontId="0" fillId="0" borderId="0" xfId="0" applyNumberFormat="1" applyAlignment="1">
      <alignment horizontal="center"/>
    </xf>
    <xf numFmtId="44" fontId="0" fillId="0" borderId="0" xfId="0" applyNumberFormat="1" applyAlignment="1">
      <alignment horizontal="center"/>
    </xf>
    <xf numFmtId="1" fontId="0" fillId="0" borderId="0" xfId="0" applyNumberFormat="1" applyAlignment="1">
      <alignment horizontal="center"/>
    </xf>
    <xf numFmtId="44" fontId="0" fillId="0" borderId="0" xfId="1" applyFont="1" applyAlignment="1" applyProtection="1">
      <alignment horizontal="center"/>
      <protection locked="0"/>
    </xf>
    <xf numFmtId="167" fontId="0" fillId="0" borderId="0" xfId="0" applyNumberFormat="1" applyAlignment="1">
      <alignment horizontal="center"/>
    </xf>
    <xf numFmtId="0" fontId="2" fillId="0" borderId="0" xfId="2"/>
    <xf numFmtId="168" fontId="0" fillId="0" borderId="0" xfId="0" applyNumberFormat="1" applyAlignment="1">
      <alignment horizontal="center"/>
    </xf>
    <xf numFmtId="169" fontId="0" fillId="0" borderId="0" xfId="0" applyNumberFormat="1" applyAlignment="1">
      <alignment horizontal="center"/>
    </xf>
    <xf numFmtId="44" fontId="0" fillId="0" borderId="0" xfId="1" applyNumberFormat="1" applyFont="1" applyAlignment="1">
      <alignment horizontal="center"/>
    </xf>
    <xf numFmtId="0" fontId="4" fillId="0" borderId="0" xfId="0" applyFont="1"/>
    <xf numFmtId="168" fontId="0" fillId="3" borderId="0" xfId="0" applyNumberFormat="1" applyFill="1" applyAlignment="1">
      <alignment horizontal="center"/>
    </xf>
    <xf numFmtId="44" fontId="0" fillId="4" borderId="0" xfId="1" applyFont="1" applyFill="1" applyAlignment="1">
      <alignment horizontal="center"/>
    </xf>
    <xf numFmtId="44" fontId="0" fillId="3" borderId="0" xfId="1" applyFont="1" applyFill="1" applyAlignment="1">
      <alignment horizontal="center"/>
    </xf>
    <xf numFmtId="164" fontId="0" fillId="3" borderId="0" xfId="1" applyNumberFormat="1" applyFont="1" applyFill="1" applyAlignment="1">
      <alignment horizontal="left"/>
    </xf>
    <xf numFmtId="0" fontId="7" fillId="0" borderId="2" xfId="5" applyFont="1" applyBorder="1" applyAlignment="1">
      <alignment horizontal="center"/>
    </xf>
    <xf numFmtId="0" fontId="7" fillId="0" borderId="3" xfId="5" applyFont="1" applyBorder="1" applyAlignment="1">
      <alignment horizontal="center"/>
    </xf>
    <xf numFmtId="3" fontId="7" fillId="0" borderId="3" xfId="5" applyNumberFormat="1" applyFont="1" applyBorder="1" applyAlignment="1">
      <alignment horizontal="center"/>
    </xf>
    <xf numFmtId="0" fontId="8" fillId="0" borderId="2" xfId="5" applyFont="1" applyBorder="1" applyAlignment="1">
      <alignment horizontal="left" vertical="center"/>
    </xf>
    <xf numFmtId="0" fontId="7" fillId="0" borderId="3" xfId="7" applyFont="1" applyBorder="1" applyAlignment="1">
      <alignment vertical="center"/>
    </xf>
    <xf numFmtId="0" fontId="7" fillId="0" borderId="3" xfId="7" applyFont="1" applyBorder="1" applyAlignment="1">
      <alignment horizontal="center"/>
    </xf>
    <xf numFmtId="0" fontId="7" fillId="0" borderId="3" xfId="10" applyFont="1" applyBorder="1" applyAlignment="1">
      <alignment horizontal="center"/>
    </xf>
    <xf numFmtId="43" fontId="7" fillId="0" borderId="3" xfId="11" applyFont="1" applyFill="1" applyBorder="1" applyAlignment="1" applyProtection="1">
      <alignment horizontal="center"/>
      <protection locked="0"/>
    </xf>
    <xf numFmtId="0" fontId="7" fillId="0" borderId="3" xfId="9" applyFont="1" applyBorder="1" applyAlignment="1">
      <alignment horizontal="justify" vertical="top" wrapText="1"/>
    </xf>
    <xf numFmtId="0" fontId="10" fillId="0" borderId="3" xfId="9" applyFont="1" applyBorder="1" applyAlignment="1">
      <alignment horizontal="justify" vertical="top" wrapText="1"/>
    </xf>
    <xf numFmtId="0" fontId="7" fillId="0" borderId="3" xfId="10" applyFont="1" applyBorder="1" applyAlignment="1">
      <alignment horizontal="justify" vertical="top"/>
    </xf>
    <xf numFmtId="0" fontId="7" fillId="0" borderId="3" xfId="10" applyFont="1" applyBorder="1" applyAlignment="1">
      <alignment horizontal="justify" vertical="top" wrapText="1"/>
    </xf>
    <xf numFmtId="0" fontId="7" fillId="0" borderId="3" xfId="10" applyFont="1" applyBorder="1" applyAlignment="1">
      <alignment vertical="top" wrapText="1"/>
    </xf>
    <xf numFmtId="0" fontId="7" fillId="0" borderId="4" xfId="10" applyFont="1" applyBorder="1" applyAlignment="1">
      <alignment horizontal="justify" vertical="top" wrapText="1"/>
    </xf>
    <xf numFmtId="0" fontId="7" fillId="0" borderId="4" xfId="10" applyFont="1" applyBorder="1" applyAlignment="1">
      <alignment horizontal="center"/>
    </xf>
    <xf numFmtId="43" fontId="7" fillId="0" borderId="4" xfId="11" applyFont="1" applyFill="1" applyBorder="1" applyAlignment="1" applyProtection="1">
      <alignment horizontal="center"/>
      <protection locked="0"/>
    </xf>
    <xf numFmtId="0" fontId="8" fillId="0" borderId="3" xfId="10" applyFont="1" applyBorder="1" applyAlignment="1">
      <alignment vertical="center"/>
    </xf>
    <xf numFmtId="0" fontId="7" fillId="0" borderId="3" xfId="10" quotePrefix="1" applyFont="1" applyBorder="1" applyAlignment="1">
      <alignment horizontal="justify" vertical="top" wrapText="1"/>
    </xf>
    <xf numFmtId="0" fontId="7" fillId="0" borderId="3" xfId="10" applyFont="1" applyBorder="1" applyAlignment="1">
      <alignment vertical="center"/>
    </xf>
    <xf numFmtId="0" fontId="7" fillId="0" borderId="3" xfId="10" applyFont="1" applyBorder="1" applyAlignment="1">
      <alignment horizontal="center" vertical="center"/>
    </xf>
    <xf numFmtId="43" fontId="7" fillId="0" borderId="3" xfId="11" applyFont="1" applyFill="1" applyBorder="1" applyAlignment="1" applyProtection="1">
      <alignment horizontal="center" vertical="center"/>
      <protection locked="0"/>
    </xf>
    <xf numFmtId="0" fontId="7" fillId="0" borderId="3" xfId="10" applyFont="1" applyBorder="1" applyAlignment="1">
      <alignment horizontal="left" vertical="center"/>
    </xf>
    <xf numFmtId="170" fontId="7" fillId="0" borderId="3" xfId="13" applyNumberFormat="1" applyFont="1" applyBorder="1" applyAlignment="1" applyProtection="1">
      <alignment horizontal="center" vertical="center"/>
      <protection locked="0"/>
    </xf>
    <xf numFmtId="0" fontId="11" fillId="0" borderId="3" xfId="14" applyFont="1" applyBorder="1" applyAlignment="1">
      <alignment horizontal="justify" vertical="top" wrapText="1"/>
    </xf>
    <xf numFmtId="0" fontId="7" fillId="0" borderId="3" xfId="14" applyFont="1" applyBorder="1" applyAlignment="1">
      <alignment horizontal="center"/>
    </xf>
    <xf numFmtId="0" fontId="11" fillId="0" borderId="3" xfId="10" quotePrefix="1" applyFont="1" applyBorder="1" applyAlignment="1">
      <alignment horizontal="justify" vertical="top" wrapText="1"/>
    </xf>
    <xf numFmtId="0" fontId="7" fillId="0" borderId="3" xfId="10" applyFont="1" applyBorder="1" applyAlignment="1">
      <alignment horizontal="center" wrapText="1"/>
    </xf>
    <xf numFmtId="43" fontId="7" fillId="0" borderId="3" xfId="11" applyFont="1" applyFill="1" applyBorder="1" applyAlignment="1" applyProtection="1">
      <alignment horizontal="center" wrapText="1"/>
      <protection locked="0"/>
    </xf>
    <xf numFmtId="0" fontId="11" fillId="0" borderId="3" xfId="10" applyFont="1" applyBorder="1" applyAlignment="1">
      <alignment vertical="center"/>
    </xf>
    <xf numFmtId="0" fontId="10" fillId="0" borderId="3" xfId="10" quotePrefix="1" applyFont="1" applyBorder="1" applyAlignment="1">
      <alignment horizontal="left" vertical="center"/>
    </xf>
    <xf numFmtId="0" fontId="10" fillId="0" borderId="3" xfId="10" applyFont="1" applyBorder="1" applyAlignment="1">
      <alignment horizontal="justify" vertical="top" wrapText="1"/>
    </xf>
    <xf numFmtId="0" fontId="7" fillId="0" borderId="3" xfId="14" applyFont="1" applyBorder="1" applyAlignment="1">
      <alignment vertical="center"/>
    </xf>
    <xf numFmtId="0" fontId="7" fillId="0" borderId="3" xfId="14" applyFont="1" applyBorder="1" applyAlignment="1">
      <alignment horizontal="center" vertical="center"/>
    </xf>
    <xf numFmtId="0" fontId="7" fillId="0" borderId="3" xfId="14" applyFont="1" applyBorder="1" applyAlignment="1">
      <alignment horizontal="justify" vertical="top" wrapText="1"/>
    </xf>
    <xf numFmtId="0" fontId="7" fillId="0" borderId="3" xfId="16" applyFont="1" applyBorder="1" applyAlignment="1">
      <alignment horizontal="justify" vertical="top" wrapText="1"/>
    </xf>
    <xf numFmtId="0" fontId="7" fillId="0" borderId="3" xfId="16" applyFont="1" applyBorder="1" applyAlignment="1">
      <alignment horizontal="center"/>
    </xf>
    <xf numFmtId="0" fontId="7" fillId="0" borderId="3" xfId="16" applyFont="1" applyBorder="1" applyAlignment="1">
      <alignment horizontal="center" vertical="center"/>
    </xf>
    <xf numFmtId="0" fontId="11" fillId="0" borderId="3" xfId="17" applyFont="1" applyBorder="1" applyAlignment="1">
      <alignment horizontal="left" vertical="top" wrapText="1"/>
    </xf>
    <xf numFmtId="0" fontId="7" fillId="0" borderId="3" xfId="17" applyFont="1" applyBorder="1" applyAlignment="1">
      <alignment horizontal="center"/>
    </xf>
    <xf numFmtId="0" fontId="12" fillId="0" borderId="3" xfId="18" applyFont="1" applyBorder="1" applyAlignment="1">
      <alignment vertical="center"/>
    </xf>
    <xf numFmtId="0" fontId="8" fillId="0" borderId="3" xfId="19" applyFont="1" applyBorder="1" applyAlignment="1">
      <alignment vertical="center"/>
    </xf>
    <xf numFmtId="0" fontId="8" fillId="0" borderId="3" xfId="19" applyFont="1" applyBorder="1" applyAlignment="1">
      <alignment horizontal="center" vertical="center"/>
    </xf>
    <xf numFmtId="43" fontId="8" fillId="0" borderId="3" xfId="11" applyFont="1" applyFill="1" applyBorder="1" applyAlignment="1" applyProtection="1">
      <alignment horizontal="center" vertical="center"/>
      <protection locked="0"/>
    </xf>
    <xf numFmtId="0" fontId="7" fillId="0" borderId="3" xfId="20" applyFont="1" applyBorder="1" applyAlignment="1">
      <alignment horizontal="justify" vertical="top" wrapText="1"/>
    </xf>
    <xf numFmtId="0" fontId="7" fillId="0" borderId="3" xfId="21" applyFont="1" applyBorder="1" applyAlignment="1">
      <alignment horizontal="center"/>
    </xf>
    <xf numFmtId="0" fontId="7" fillId="0" borderId="3" xfId="22" applyFont="1" applyBorder="1" applyAlignment="1">
      <alignment horizontal="center"/>
    </xf>
    <xf numFmtId="0" fontId="7" fillId="0" borderId="3" xfId="11" applyNumberFormat="1" applyFont="1" applyFill="1" applyBorder="1" applyAlignment="1" applyProtection="1">
      <alignment horizontal="center" vertical="center"/>
    </xf>
    <xf numFmtId="0" fontId="7" fillId="0" borderId="3" xfId="23" applyFont="1" applyBorder="1" applyAlignment="1">
      <alignment horizontal="center" vertical="center"/>
    </xf>
    <xf numFmtId="170" fontId="7" fillId="0" borderId="3" xfId="13" applyNumberFormat="1" applyFont="1" applyFill="1" applyBorder="1" applyAlignment="1" applyProtection="1">
      <alignment horizontal="center" vertical="center"/>
      <protection locked="0"/>
    </xf>
    <xf numFmtId="0" fontId="7" fillId="0" borderId="3" xfId="19" applyFont="1" applyBorder="1" applyAlignment="1">
      <alignment horizontal="justify" vertical="top" wrapText="1"/>
    </xf>
    <xf numFmtId="0" fontId="8" fillId="0" borderId="3" xfId="7" applyFont="1" applyBorder="1" applyAlignment="1">
      <alignment vertical="center"/>
    </xf>
    <xf numFmtId="0" fontId="7" fillId="0" borderId="3" xfId="19" applyFont="1" applyBorder="1" applyAlignment="1">
      <alignment horizontal="center" vertical="center"/>
    </xf>
    <xf numFmtId="0" fontId="7" fillId="0" borderId="3" xfId="22" applyFont="1" applyBorder="1" applyAlignment="1">
      <alignment horizontal="center" vertical="center"/>
    </xf>
    <xf numFmtId="0" fontId="7" fillId="0" borderId="3" xfId="21" applyFont="1" applyBorder="1" applyAlignment="1">
      <alignment horizontal="center" vertical="center"/>
    </xf>
    <xf numFmtId="0" fontId="7" fillId="0" borderId="3" xfId="11" applyNumberFormat="1" applyFont="1" applyFill="1" applyBorder="1" applyAlignment="1" applyProtection="1">
      <alignment horizontal="left" vertical="center"/>
    </xf>
    <xf numFmtId="0" fontId="10" fillId="0" borderId="3" xfId="18" applyFont="1" applyBorder="1" applyAlignment="1">
      <alignment horizontal="justify" vertical="top" wrapText="1"/>
    </xf>
    <xf numFmtId="0" fontId="10" fillId="0" borderId="3" xfId="18" applyFont="1" applyBorder="1" applyAlignment="1">
      <alignment horizontal="center"/>
    </xf>
    <xf numFmtId="43" fontId="10" fillId="0" borderId="3" xfId="11" applyFont="1" applyFill="1" applyBorder="1" applyAlignment="1" applyProtection="1">
      <alignment horizontal="center"/>
      <protection locked="0"/>
    </xf>
    <xf numFmtId="0" fontId="10" fillId="0" borderId="3" xfId="18" applyFont="1" applyBorder="1" applyAlignment="1">
      <alignment horizontal="center" vertical="center"/>
    </xf>
    <xf numFmtId="0" fontId="8" fillId="0" borderId="6" xfId="23" applyFont="1" applyBorder="1" applyAlignment="1">
      <alignment horizontal="left" vertical="center" wrapText="1"/>
    </xf>
    <xf numFmtId="0" fontId="7" fillId="0" borderId="3" xfId="23" applyFont="1" applyBorder="1" applyAlignment="1">
      <alignment horizontal="left" vertical="top" wrapText="1"/>
    </xf>
    <xf numFmtId="0" fontId="7" fillId="0" borderId="3" xfId="23" applyFont="1" applyBorder="1" applyAlignment="1">
      <alignment horizontal="center" wrapText="1"/>
    </xf>
    <xf numFmtId="0" fontId="7" fillId="0" borderId="3" xfId="23" applyFont="1" applyBorder="1" applyAlignment="1">
      <alignment horizontal="left" vertical="center" wrapText="1"/>
    </xf>
    <xf numFmtId="0" fontId="8" fillId="0" borderId="3" xfId="23" applyFont="1" applyBorder="1" applyAlignment="1">
      <alignment horizontal="left" vertical="center"/>
    </xf>
    <xf numFmtId="0" fontId="7" fillId="0" borderId="3" xfId="23" applyFont="1" applyBorder="1" applyAlignment="1">
      <alignment horizontal="center" vertical="center" wrapText="1"/>
    </xf>
    <xf numFmtId="0" fontId="7" fillId="0" borderId="3" xfId="23" applyFont="1" applyBorder="1" applyAlignment="1">
      <alignment horizontal="left" vertical="center"/>
    </xf>
    <xf numFmtId="0" fontId="8" fillId="0" borderId="3" xfId="23" applyFont="1" applyBorder="1" applyAlignment="1">
      <alignment horizontal="left" vertical="center" wrapText="1"/>
    </xf>
    <xf numFmtId="0" fontId="7" fillId="0" borderId="3" xfId="23" applyFont="1" applyBorder="1" applyAlignment="1">
      <alignment horizontal="justify" vertical="center" wrapText="1"/>
    </xf>
    <xf numFmtId="0" fontId="8" fillId="0" borderId="6" xfId="24" applyFont="1" applyBorder="1" applyAlignment="1">
      <alignment vertical="center"/>
    </xf>
    <xf numFmtId="0" fontId="8" fillId="0" borderId="3" xfId="24" applyFont="1" applyBorder="1" applyAlignment="1">
      <alignment vertical="center"/>
    </xf>
    <xf numFmtId="0" fontId="7" fillId="0" borderId="3" xfId="24" applyFont="1" applyBorder="1" applyAlignment="1">
      <alignment vertical="center"/>
    </xf>
    <xf numFmtId="0" fontId="7" fillId="0" borderId="3" xfId="24" applyFont="1" applyBorder="1" applyAlignment="1">
      <alignment horizontal="center"/>
    </xf>
    <xf numFmtId="4" fontId="7" fillId="0" borderId="3" xfId="24" applyNumberFormat="1" applyFont="1" applyBorder="1" applyAlignment="1" applyProtection="1">
      <alignment horizontal="center"/>
      <protection locked="0"/>
    </xf>
    <xf numFmtId="0" fontId="7" fillId="0" borderId="3" xfId="24" applyFont="1" applyBorder="1" applyAlignment="1">
      <alignment horizontal="justify" vertical="top" wrapText="1"/>
    </xf>
    <xf numFmtId="3" fontId="7" fillId="0" borderId="3" xfId="24" applyNumberFormat="1" applyFont="1" applyBorder="1" applyAlignment="1">
      <alignment horizontal="center"/>
    </xf>
    <xf numFmtId="3" fontId="7" fillId="0" borderId="3" xfId="24" applyNumberFormat="1" applyFont="1" applyBorder="1" applyAlignment="1">
      <alignment horizontal="center" vertical="center"/>
    </xf>
    <xf numFmtId="0" fontId="7" fillId="0" borderId="3" xfId="24" applyFont="1" applyBorder="1" applyAlignment="1">
      <alignment horizontal="center" vertical="center"/>
    </xf>
    <xf numFmtId="4" fontId="7" fillId="0" borderId="3" xfId="24" applyNumberFormat="1" applyFont="1" applyBorder="1" applyAlignment="1" applyProtection="1">
      <alignment horizontal="center" vertical="center"/>
      <protection locked="0"/>
    </xf>
    <xf numFmtId="0" fontId="7" fillId="0" borderId="3" xfId="24" applyFont="1" applyBorder="1" applyAlignment="1">
      <alignment vertical="center" wrapText="1"/>
    </xf>
    <xf numFmtId="3" fontId="7" fillId="0" borderId="3" xfId="24" applyNumberFormat="1" applyFont="1" applyBorder="1" applyAlignment="1">
      <alignment horizontal="center" vertical="top"/>
    </xf>
    <xf numFmtId="0" fontId="7" fillId="0" borderId="3" xfId="24" applyFont="1" applyBorder="1" applyAlignment="1">
      <alignment horizontal="center" vertical="top"/>
    </xf>
    <xf numFmtId="4" fontId="7" fillId="0" borderId="3" xfId="24" applyNumberFormat="1" applyFont="1" applyBorder="1" applyAlignment="1" applyProtection="1">
      <alignment horizontal="center" vertical="top"/>
      <protection locked="0"/>
    </xf>
    <xf numFmtId="0" fontId="7" fillId="0" borderId="3" xfId="0" applyFont="1" applyBorder="1" applyAlignment="1">
      <alignment vertical="center"/>
    </xf>
    <xf numFmtId="3" fontId="7" fillId="0" borderId="3" xfId="0" applyNumberFormat="1" applyFont="1" applyBorder="1" applyAlignment="1">
      <alignment horizontal="center" vertical="center"/>
    </xf>
    <xf numFmtId="0" fontId="7" fillId="0" borderId="3" xfId="0" applyFont="1" applyBorder="1" applyAlignment="1">
      <alignment horizontal="justify" vertical="center" wrapText="1"/>
    </xf>
    <xf numFmtId="0" fontId="7" fillId="0" borderId="3" xfId="0" applyFont="1" applyBorder="1" applyAlignment="1">
      <alignment horizontal="justify" vertical="top" wrapText="1"/>
    </xf>
    <xf numFmtId="0" fontId="7" fillId="0" borderId="3" xfId="24" applyFont="1" applyBorder="1" applyAlignment="1">
      <alignment horizontal="justify" vertical="center" wrapText="1"/>
    </xf>
    <xf numFmtId="0" fontId="7" fillId="0" borderId="3" xfId="0" applyFont="1" applyBorder="1" applyAlignment="1">
      <alignment vertical="top" wrapText="1"/>
    </xf>
    <xf numFmtId="0" fontId="14" fillId="0" borderId="9" xfId="24" applyFont="1" applyBorder="1" applyAlignment="1">
      <alignment vertical="center"/>
    </xf>
    <xf numFmtId="0" fontId="14" fillId="0" borderId="10" xfId="24" applyFont="1" applyBorder="1" applyAlignment="1">
      <alignment vertical="center"/>
    </xf>
    <xf numFmtId="0" fontId="11" fillId="0" borderId="11" xfId="24" applyFont="1" applyBorder="1" applyAlignment="1">
      <alignment horizontal="center" vertical="top"/>
    </xf>
    <xf numFmtId="0" fontId="14" fillId="0" borderId="12" xfId="24" applyFont="1" applyBorder="1" applyAlignment="1">
      <alignment vertical="center"/>
    </xf>
    <xf numFmtId="0" fontId="14" fillId="0" borderId="2" xfId="24" applyFont="1" applyBorder="1" applyAlignment="1">
      <alignment vertical="center"/>
    </xf>
    <xf numFmtId="0" fontId="11" fillId="0" borderId="3" xfId="24" applyFont="1" applyBorder="1" applyAlignment="1">
      <alignment horizontal="center" vertical="top"/>
    </xf>
    <xf numFmtId="0" fontId="11" fillId="0" borderId="3" xfId="24" applyFont="1" applyBorder="1" applyAlignment="1">
      <alignment horizontal="justify" vertical="top" wrapText="1"/>
    </xf>
    <xf numFmtId="3" fontId="11" fillId="0" borderId="3" xfId="24" applyNumberFormat="1" applyFont="1" applyBorder="1" applyAlignment="1">
      <alignment horizontal="center" vertical="center"/>
    </xf>
    <xf numFmtId="0" fontId="11" fillId="0" borderId="3" xfId="24" applyFont="1" applyBorder="1" applyAlignment="1">
      <alignment horizontal="center" vertical="center"/>
    </xf>
    <xf numFmtId="0" fontId="11" fillId="0" borderId="3" xfId="24" applyFont="1" applyBorder="1" applyAlignment="1">
      <alignment vertical="center"/>
    </xf>
    <xf numFmtId="0" fontId="3" fillId="0" borderId="1" xfId="0" applyFont="1" applyBorder="1" applyAlignment="1">
      <alignment horizontal="center"/>
    </xf>
    <xf numFmtId="0" fontId="0" fillId="2" borderId="0" xfId="0" applyFont="1" applyFill="1" applyAlignment="1">
      <alignment horizontal="center"/>
    </xf>
    <xf numFmtId="44" fontId="0" fillId="2" borderId="0" xfId="0" applyNumberFormat="1" applyFont="1" applyFill="1" applyAlignment="1">
      <alignment horizontal="center"/>
    </xf>
    <xf numFmtId="0" fontId="0" fillId="2" borderId="0" xfId="0" applyNumberFormat="1" applyFont="1" applyFill="1" applyAlignment="1">
      <alignment horizontal="center"/>
    </xf>
    <xf numFmtId="0" fontId="0" fillId="0" borderId="0" xfId="0" applyFont="1" applyAlignment="1">
      <alignment horizontal="center"/>
    </xf>
    <xf numFmtId="44" fontId="0" fillId="0" borderId="0" xfId="0" applyNumberFormat="1" applyFont="1" applyAlignment="1">
      <alignment horizontal="center"/>
    </xf>
    <xf numFmtId="0" fontId="0" fillId="0" borderId="0" xfId="0" applyNumberFormat="1" applyFont="1" applyAlignment="1">
      <alignment horizontal="center"/>
    </xf>
    <xf numFmtId="0" fontId="3" fillId="0" borderId="1" xfId="0" applyFont="1" applyBorder="1" applyAlignment="1">
      <alignment horizontal="left"/>
    </xf>
    <xf numFmtId="0" fontId="0" fillId="2" borderId="0" xfId="0" applyFont="1" applyFill="1" applyAlignment="1">
      <alignment horizontal="left"/>
    </xf>
    <xf numFmtId="0" fontId="0" fillId="0" borderId="0" xfId="0" applyFont="1" applyAlignment="1">
      <alignment horizontal="left"/>
    </xf>
    <xf numFmtId="0" fontId="8" fillId="0" borderId="2" xfId="5" applyFont="1" applyBorder="1" applyAlignment="1">
      <alignment horizontal="left"/>
    </xf>
    <xf numFmtId="0" fontId="8" fillId="0" borderId="3" xfId="9" applyFont="1" applyBorder="1" applyAlignment="1">
      <alignment horizontal="left"/>
    </xf>
    <xf numFmtId="0" fontId="0" fillId="2" borderId="0" xfId="0" applyFill="1" applyAlignment="1">
      <alignment horizontal="center"/>
    </xf>
    <xf numFmtId="44" fontId="0" fillId="2" borderId="0" xfId="0" applyNumberFormat="1" applyFill="1" applyAlignment="1">
      <alignment horizontal="center"/>
    </xf>
    <xf numFmtId="0" fontId="0" fillId="2" borderId="0" xfId="0" applyFill="1" applyAlignment="1">
      <alignment horizontal="left"/>
    </xf>
    <xf numFmtId="0" fontId="7" fillId="2" borderId="3" xfId="5" applyFont="1" applyFill="1" applyBorder="1" applyAlignment="1">
      <alignment horizontal="center"/>
    </xf>
    <xf numFmtId="0" fontId="7" fillId="2" borderId="2" xfId="5" applyFont="1" applyFill="1" applyBorder="1" applyAlignment="1">
      <alignment horizontal="center"/>
    </xf>
    <xf numFmtId="0" fontId="7" fillId="0" borderId="3" xfId="11" applyNumberFormat="1" applyFont="1" applyBorder="1" applyAlignment="1">
      <alignment horizontal="center" vertical="center"/>
    </xf>
    <xf numFmtId="0" fontId="7" fillId="0" borderId="2" xfId="5" applyNumberFormat="1" applyFont="1" applyBorder="1" applyAlignment="1">
      <alignment horizontal="left" wrapText="1"/>
    </xf>
    <xf numFmtId="0" fontId="7" fillId="2" borderId="3" xfId="5" applyNumberFormat="1" applyFont="1" applyFill="1" applyBorder="1" applyAlignment="1">
      <alignment horizontal="left"/>
    </xf>
    <xf numFmtId="172" fontId="0" fillId="0" borderId="0" xfId="0" applyNumberFormat="1"/>
    <xf numFmtId="8" fontId="0" fillId="0" borderId="0" xfId="0" applyNumberFormat="1" applyFont="1" applyAlignment="1">
      <alignment horizontal="center"/>
    </xf>
    <xf numFmtId="44" fontId="15" fillId="0" borderId="0" xfId="1" applyFont="1"/>
    <xf numFmtId="8" fontId="16" fillId="0" borderId="0" xfId="0" applyNumberFormat="1" applyFont="1"/>
    <xf numFmtId="44" fontId="16" fillId="0" borderId="0" xfId="1" applyFont="1"/>
    <xf numFmtId="44" fontId="0" fillId="0" borderId="0" xfId="1" applyFont="1"/>
    <xf numFmtId="0" fontId="7" fillId="0" borderId="0" xfId="11" applyNumberFormat="1" applyFont="1" applyFill="1" applyBorder="1" applyAlignment="1" applyProtection="1">
      <alignment horizontal="center" vertical="center"/>
    </xf>
    <xf numFmtId="0" fontId="7" fillId="0" borderId="0" xfId="7" applyFont="1" applyBorder="1" applyAlignment="1">
      <alignment horizontal="center"/>
    </xf>
    <xf numFmtId="175" fontId="17" fillId="0" borderId="13" xfId="8" applyNumberFormat="1" applyFont="1" applyBorder="1" applyAlignment="1">
      <alignment horizontal="center"/>
    </xf>
    <xf numFmtId="173" fontId="0" fillId="0" borderId="0" xfId="0" applyNumberFormat="1"/>
    <xf numFmtId="2" fontId="0" fillId="0" borderId="0" xfId="0" applyNumberFormat="1"/>
    <xf numFmtId="174" fontId="0" fillId="0" borderId="0" xfId="0" applyNumberFormat="1"/>
    <xf numFmtId="1" fontId="0" fillId="0" borderId="0" xfId="0" applyNumberFormat="1"/>
    <xf numFmtId="0" fontId="18" fillId="0" borderId="2" xfId="5" applyFont="1" applyBorder="1" applyAlignment="1">
      <alignment horizontal="center"/>
    </xf>
    <xf numFmtId="3" fontId="18" fillId="0" borderId="3" xfId="5" applyNumberFormat="1" applyFont="1" applyBorder="1" applyAlignment="1">
      <alignment horizontal="center"/>
    </xf>
    <xf numFmtId="0" fontId="18" fillId="0" borderId="3" xfId="22" applyFont="1" applyBorder="1" applyAlignment="1">
      <alignment horizontal="center" vertical="center"/>
    </xf>
    <xf numFmtId="0" fontId="18" fillId="0" borderId="3" xfId="5" applyFont="1" applyBorder="1" applyAlignment="1">
      <alignment horizontal="center"/>
    </xf>
    <xf numFmtId="1" fontId="0" fillId="0" borderId="0" xfId="0" applyNumberFormat="1" applyFont="1" applyAlignment="1">
      <alignment horizontal="center"/>
    </xf>
    <xf numFmtId="0" fontId="18" fillId="2" borderId="3" xfId="5" applyFont="1" applyFill="1" applyBorder="1" applyAlignment="1">
      <alignment horizontal="center"/>
    </xf>
    <xf numFmtId="0" fontId="18" fillId="2" borderId="2" xfId="5" applyFont="1" applyFill="1" applyBorder="1" applyAlignment="1">
      <alignment horizontal="center"/>
    </xf>
    <xf numFmtId="0" fontId="18" fillId="0" borderId="3" xfId="11" applyNumberFormat="1" applyFont="1" applyBorder="1" applyAlignment="1">
      <alignment horizontal="center" vertical="center"/>
    </xf>
    <xf numFmtId="3" fontId="18" fillId="0" borderId="3" xfId="6" applyNumberFormat="1" applyFont="1" applyBorder="1" applyAlignment="1">
      <alignment horizontal="center"/>
    </xf>
    <xf numFmtId="0" fontId="18" fillId="0" borderId="3" xfId="7" applyFont="1" applyBorder="1" applyAlignment="1">
      <alignment horizontal="center"/>
    </xf>
    <xf numFmtId="0" fontId="19" fillId="0" borderId="3" xfId="9" applyFont="1" applyBorder="1" applyAlignment="1">
      <alignment horizontal="left"/>
    </xf>
    <xf numFmtId="0" fontId="18" fillId="0" borderId="3" xfId="10" applyFont="1" applyBorder="1" applyAlignment="1">
      <alignment vertical="center"/>
    </xf>
    <xf numFmtId="0" fontId="18" fillId="0" borderId="3" xfId="10" applyFont="1" applyBorder="1" applyAlignment="1">
      <alignment horizontal="center" vertical="center"/>
    </xf>
    <xf numFmtId="0" fontId="18" fillId="0" borderId="3" xfId="7" applyFont="1" applyBorder="1" applyAlignment="1">
      <alignment vertical="center"/>
    </xf>
    <xf numFmtId="0" fontId="18" fillId="0" borderId="3" xfId="19" applyFont="1" applyBorder="1" applyAlignment="1">
      <alignment horizontal="center" vertical="center"/>
    </xf>
    <xf numFmtId="0" fontId="19" fillId="0" borderId="2" xfId="5" applyFont="1" applyBorder="1" applyAlignment="1">
      <alignment horizontal="left" vertical="center"/>
    </xf>
    <xf numFmtId="3" fontId="18" fillId="2" borderId="3" xfId="5" applyNumberFormat="1" applyFont="1" applyFill="1" applyBorder="1" applyAlignment="1">
      <alignment horizontal="center"/>
    </xf>
    <xf numFmtId="0" fontId="18" fillId="2" borderId="3" xfId="11" applyNumberFormat="1" applyFont="1" applyFill="1" applyBorder="1" applyAlignment="1">
      <alignment horizontal="center" vertical="center"/>
    </xf>
    <xf numFmtId="3" fontId="18" fillId="2" borderId="3" xfId="6" applyNumberFormat="1" applyFont="1" applyFill="1" applyBorder="1" applyAlignment="1">
      <alignment horizontal="center"/>
    </xf>
    <xf numFmtId="44" fontId="20" fillId="0" borderId="0" xfId="1" applyFont="1"/>
    <xf numFmtId="1" fontId="0" fillId="2" borderId="0" xfId="0" applyNumberFormat="1" applyFont="1" applyFill="1" applyAlignment="1">
      <alignment horizontal="center"/>
    </xf>
    <xf numFmtId="0" fontId="7" fillId="0" borderId="0" xfId="11" applyNumberFormat="1" applyFont="1" applyFill="1" applyAlignment="1" applyProtection="1">
      <alignment horizontal="center" vertical="center"/>
    </xf>
    <xf numFmtId="0" fontId="7" fillId="0" borderId="3" xfId="0" applyNumberFormat="1" applyFont="1" applyFill="1" applyBorder="1" applyAlignment="1" applyProtection="1">
      <alignment horizontal="center" vertical="center"/>
    </xf>
    <xf numFmtId="0" fontId="7" fillId="0" borderId="0" xfId="0" applyNumberFormat="1" applyFont="1" applyFill="1" applyAlignment="1" applyProtection="1">
      <alignment horizontal="center" vertical="center"/>
    </xf>
    <xf numFmtId="176" fontId="0" fillId="0" borderId="0" xfId="0" applyNumberFormat="1"/>
    <xf numFmtId="177" fontId="0" fillId="0" borderId="0" xfId="0" applyNumberFormat="1"/>
    <xf numFmtId="177" fontId="0" fillId="0" borderId="0" xfId="0" applyNumberFormat="1" applyAlignment="1">
      <alignment horizontal="center"/>
    </xf>
    <xf numFmtId="178" fontId="0" fillId="0" borderId="0" xfId="0" applyNumberFormat="1"/>
    <xf numFmtId="178" fontId="0" fillId="0" borderId="0" xfId="0" applyNumberFormat="1" applyAlignment="1">
      <alignment horizontal="center"/>
    </xf>
    <xf numFmtId="179" fontId="0" fillId="0" borderId="0" xfId="0" applyNumberFormat="1"/>
    <xf numFmtId="180" fontId="0" fillId="0" borderId="0" xfId="0" applyNumberFormat="1"/>
    <xf numFmtId="0" fontId="21" fillId="0" borderId="0" xfId="0" applyFont="1" applyAlignment="1">
      <alignment horizontal="left"/>
    </xf>
    <xf numFmtId="1" fontId="0" fillId="0" borderId="0" xfId="1" applyNumberFormat="1" applyFont="1" applyAlignment="1">
      <alignment horizontal="center"/>
    </xf>
    <xf numFmtId="8" fontId="0" fillId="0" borderId="0" xfId="0" applyNumberFormat="1"/>
    <xf numFmtId="4" fontId="0" fillId="0" borderId="0" xfId="0" applyNumberFormat="1"/>
    <xf numFmtId="4" fontId="16" fillId="0" borderId="0" xfId="0" applyNumberFormat="1" applyFont="1"/>
    <xf numFmtId="0" fontId="2" fillId="0" borderId="0" xfId="2" applyAlignment="1">
      <alignment horizontal="left"/>
    </xf>
    <xf numFmtId="0" fontId="7" fillId="0" borderId="2" xfId="5" applyFont="1" applyBorder="1" applyAlignment="1">
      <alignment horizontal="left"/>
    </xf>
    <xf numFmtId="0" fontId="8" fillId="0" borderId="7" xfId="15" applyNumberFormat="1" applyFont="1" applyFill="1" applyBorder="1" applyAlignment="1" applyProtection="1">
      <alignment horizontal="left" vertical="center" indent="5"/>
    </xf>
    <xf numFmtId="0" fontId="8" fillId="0" borderId="8" xfId="15" applyNumberFormat="1" applyFont="1" applyFill="1" applyBorder="1" applyAlignment="1" applyProtection="1">
      <alignment horizontal="left" vertical="center" indent="5"/>
    </xf>
    <xf numFmtId="0" fontId="8" fillId="0" borderId="5" xfId="15" applyNumberFormat="1" applyFont="1" applyFill="1" applyBorder="1" applyAlignment="1" applyProtection="1">
      <alignment horizontal="left" vertical="center" indent="5"/>
    </xf>
  </cellXfs>
  <cellStyles count="26">
    <cellStyle name="Comma 10 2" xfId="13" xr:uid="{5C3787BB-8B24-4A8E-A55B-ACE00F8469C7}"/>
    <cellStyle name="Comma 18" xfId="11" xr:uid="{6FF35A43-B273-4E1E-BBFD-E0C8DECC22D6}"/>
    <cellStyle name="Comma 2" xfId="6" xr:uid="{312ED036-2CCF-4897-A8B4-63DC4C4A3FF2}"/>
    <cellStyle name="Comma 21" xfId="4" xr:uid="{D3841F50-3151-4D95-BA39-809F4D83D202}"/>
    <cellStyle name="Comma 9 2" xfId="15" xr:uid="{512F29E3-A6AA-4192-B960-9DAD326094E9}"/>
    <cellStyle name="Currency" xfId="1" builtinId="4"/>
    <cellStyle name="Hyperlink" xfId="2" builtinId="8"/>
    <cellStyle name="Normal" xfId="0" builtinId="0"/>
    <cellStyle name="Normal 2 2 3" xfId="23" xr:uid="{9C495D8E-1998-4FC1-9C17-3CB4328EE447}"/>
    <cellStyle name="Normal 2 5" xfId="12" xr:uid="{7089FCE6-B3BB-4BC9-AF40-40A37076FF83}"/>
    <cellStyle name="Normal 3 2 2" xfId="8" xr:uid="{E653F7B4-2A7E-4F77-B7B2-F34B703D8DAF}"/>
    <cellStyle name="Normal 5" xfId="24" xr:uid="{D4F5F01A-EFC3-485B-8A7F-4A908B297A77}"/>
    <cellStyle name="Normal 514" xfId="3" xr:uid="{4086132D-9BAE-4369-9F48-1AB85581DEA2}"/>
    <cellStyle name="Normal_1.0 MAIN Villa 2" xfId="20" xr:uid="{C827D725-D6CB-4A38-B65C-A7E2D14B3456}"/>
    <cellStyle name="Normal_Bill-2-Main Building..... 2" xfId="22" xr:uid="{7E7AF7F9-D90A-47BA-8725-3CBD9DBC1AFA}"/>
    <cellStyle name="Normal_Bill-2-Main Building....._working 2" xfId="18" xr:uid="{CD106301-835B-4249-B5B6-87D6A27BF6D1}"/>
    <cellStyle name="Normal_Bill2-Main School  Bldg." xfId="21" xr:uid="{EF9B521F-2384-4F81-8F3B-3EA5EE63BE94}"/>
    <cellStyle name="Normal_Bill2-Main School  Bldg._working 2" xfId="10" xr:uid="{2B074324-0EC2-44B1-86E1-2968E2796812}"/>
    <cellStyle name="Normal_Bill2-Main School  Bldg._working 3" xfId="17" xr:uid="{5ACE4E6A-B0E2-4816-B474-D88ED27285BE}"/>
    <cellStyle name="Normal_Bill2-Main School  Bldg._working-AC 2" xfId="19" xr:uid="{A95B8468-FEB4-430A-AB2B-A34AAC0C479C}"/>
    <cellStyle name="Normal_Bill-2-Tower" xfId="7" xr:uid="{86A83E26-B2AD-42C8-A513-2A58771BB578}"/>
    <cellStyle name="Normal_Bill-2-Tower_working 2" xfId="14" xr:uid="{641D71DC-F1FC-473A-9234-19AD7AB0D118}"/>
    <cellStyle name="Normal_Bill-2-Tower_working 3" xfId="16" xr:uid="{E25DEBF4-2422-452C-AEC2-AC721E2C59F8}"/>
    <cellStyle name="Normal_Commercial development  2 2" xfId="9" xr:uid="{41E37B7D-F6E5-433A-9ED8-562BE2307038}"/>
    <cellStyle name="Normal_School 6 azk" xfId="5" xr:uid="{B0E84C10-9416-46E9-80C1-1366B8F8C2B5}"/>
    <cellStyle name="Percent 2" xfId="25" xr:uid="{095592C6-BD0A-411F-AFDF-687A0168C5CC}"/>
  </cellStyles>
  <dxfs count="53">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center"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1"/>
        <color auto="1"/>
        <name val="Arial"/>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1"/>
        <color auto="1"/>
        <name val="Arial"/>
        <family val="2"/>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1" hidden="0"/>
    </dxf>
    <dxf>
      <font>
        <b val="0"/>
        <i val="0"/>
        <strike val="0"/>
        <condense val="0"/>
        <extend val="0"/>
        <outline val="0"/>
        <shadow val="0"/>
        <u val="none"/>
        <vertAlign val="baseline"/>
        <sz val="11"/>
        <color auto="1"/>
        <name val="Arial"/>
        <family val="2"/>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protection locked="1" hidden="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border outline="0">
        <bottom style="thin">
          <color rgb="FF000000"/>
        </bottom>
      </border>
    </dxf>
    <dxf>
      <border outline="0">
        <top style="thin">
          <color rgb="FF000000"/>
        </top>
      </border>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center"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1"/>
        <color auto="1"/>
        <name val="Arial"/>
        <family val="2"/>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1" hidden="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border outline="0">
        <bottom style="thin">
          <color rgb="FF000000"/>
        </bottom>
      </border>
    </dxf>
    <dxf>
      <border outline="0">
        <top style="thin">
          <color rgb="FF000000"/>
        </top>
      </border>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center"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1" hidden="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border outline="0">
        <bottom style="thin">
          <color rgb="FF000000"/>
        </bottom>
      </border>
    </dxf>
    <dxf>
      <border outline="0">
        <top style="thin">
          <color rgb="FF000000"/>
        </top>
      </border>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34" formatCode="_(&quot;$&quot;* #,##0.00_);_(&quot;$&quot;* \(#,##0.00\);_(&quot;$&quot;* &quot;-&quot;??_);_(@_)"/>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46D707-F5F8-42DF-B179-556C37FA6DD2}" name="Table1" displayName="Table1" ref="A1:K74" totalsRowShown="0" headerRowDxfId="52" dataDxfId="51">
  <autoFilter ref="A1:K74" xr:uid="{9A406FA1-6ED2-4AB3-8A2A-62DBAA519043}"/>
  <tableColumns count="11">
    <tableColumn id="2" xr3:uid="{24C56480-B587-4090-B119-FD3BA3EEBECE}" name="WP" dataDxfId="50"/>
    <tableColumn id="5" xr3:uid="{2B5E8C2C-3848-4B18-BB5B-4A9BA7F79E2D}" name="Activities List" dataDxfId="49"/>
    <tableColumn id="6" xr3:uid="{8C0414F0-9E04-44DD-B493-5C2E6F4D2905}" name="Cost per unit " dataDxfId="48"/>
    <tableColumn id="7" xr3:uid="{2A9C2B13-08F0-463D-A6F8-76EBD32F1121}" name="unit per duration " dataDxfId="47"/>
    <tableColumn id="8" xr3:uid="{CA975047-C905-43EC-BAF1-368828268DC0}" name="Quantity" dataDxfId="46"/>
    <tableColumn id="9" xr3:uid="{B49FF68E-F9B6-4C17-AB97-FCEC29246672}" name="Total Cost " dataDxfId="45">
      <calculatedColumnFormula>(Table1[[#This Row],[Quantity]]/Table1[[#This Row],[unit per duration ]])</calculatedColumnFormula>
    </tableColumn>
    <tableColumn id="10" xr3:uid="{C6137ACF-965F-4481-BB82-96B4EDEC3C86}" name="duration in days" dataDxfId="44">
      <calculatedColumnFormula>((Table1[[#This Row],[Quantity]]/Table1[[#This Row],[unit per duration ]])/24)/10</calculatedColumnFormula>
    </tableColumn>
    <tableColumn id="14" xr3:uid="{D259637C-C2C0-4977-9468-64363B533DB5}" name="Human Resource" dataDxfId="43"/>
    <tableColumn id="15" xr3:uid="{CDC1DBF1-0BBB-4617-B4AC-0CB5C8C4F373}" name="Equipment" dataDxfId="42"/>
    <tableColumn id="20" xr3:uid="{2A3AA130-B3D1-4C09-A7C8-351E2FBE0AB0}" name="References" dataDxfId="41"/>
    <tableColumn id="21" xr3:uid="{31079BDA-A1D6-4765-8E8B-B532FDD6A013}" name="dis" dataDxfId="4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39E2577-A36A-4655-B575-4F423419F36C}" name="Table467" displayName="Table467" ref="A1:H9" totalsRowShown="0" headerRowDxfId="39" dataDxfId="38" headerRowBorderDxfId="36" tableBorderDxfId="37">
  <autoFilter ref="A1:H9" xr:uid="{B98AB582-085A-46A8-9291-181B492BB430}"/>
  <tableColumns count="8">
    <tableColumn id="2" xr3:uid="{53344B7E-5BAF-4C07-A760-6F5807821035}" name="WP" dataDxfId="35"/>
    <tableColumn id="5" xr3:uid="{F81E56DB-CF8A-4FC6-AD33-E0BE71A11362}" name="Activities List"/>
    <tableColumn id="6" xr3:uid="{767DB9E4-AE38-4CB9-BE3B-48D70922C59C}" name="Cost per unit "/>
    <tableColumn id="7" xr3:uid="{45B41AE3-F314-4195-8A62-71B9A42369D2}" name="unit per duration "/>
    <tableColumn id="8" xr3:uid="{B2FA9BD5-4365-4D3C-9390-01A3248808D3}" name="Quantity" dataDxfId="34" dataCellStyle="Comma 18"/>
    <tableColumn id="9" xr3:uid="{857F2FEA-4BDF-42E8-886E-784353BB23B4}" name="Total Cost " dataDxfId="33"/>
    <tableColumn id="10" xr3:uid="{87CA8C61-A0F7-4B74-8E9B-977F84245B0D}" name="duration in days" dataDxfId="32"/>
    <tableColumn id="20" xr3:uid="{5E1FD3E6-D3D5-4D9A-B111-05675C4F732C}" name="References" dataDxfId="31"/>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A95AF0-55AC-4EB1-A2E0-EDADFB2AC0DE}" name="Table4673" displayName="Table4673" ref="A1:J37" totalsRowShown="0" headerRowDxfId="30" dataDxfId="29" headerRowBorderDxfId="27" tableBorderDxfId="28">
  <autoFilter ref="A1:J37" xr:uid="{B98AB582-085A-46A8-9291-181B492BB430}"/>
  <tableColumns count="10">
    <tableColumn id="2" xr3:uid="{F045C0D6-5265-42BB-A74A-2F184755F178}" name="WP" dataDxfId="26"/>
    <tableColumn id="5" xr3:uid="{ACF604DE-3623-4C01-B5EC-A416280143AD}" name="Activities List"/>
    <tableColumn id="6" xr3:uid="{62EC8F51-A474-4F61-8B2C-4B1CAEF33E8B}" name="Cost per unit "/>
    <tableColumn id="7" xr3:uid="{D274FE1C-DE92-4034-BFD8-1EF2D4DD92EB}" name="unit per duration "/>
    <tableColumn id="8" xr3:uid="{E2DB9DF0-132F-4CFA-9848-5F8027DBB960}" name="Quantity" dataDxfId="25" dataCellStyle="Comma 18"/>
    <tableColumn id="22" xr3:uid="{C174320F-6F49-418F-B09A-BF0E15F79A24}" name="unit" dataDxfId="24" dataCellStyle="Comma 18"/>
    <tableColumn id="9" xr3:uid="{16ED651F-4D91-4F06-B24B-0635B63A16A9}" name="Total Cost " dataDxfId="23"/>
    <tableColumn id="10" xr3:uid="{A2A74747-9934-4299-9086-65BC564306C4}" name="duration in days" dataDxfId="22"/>
    <tableColumn id="11" xr3:uid="{D536EF6A-AFEE-43F5-B78D-46F672D87F27}" name="Acceptance Criteria" dataDxfId="21"/>
    <tableColumn id="20" xr3:uid="{BEC77AE4-C94C-4F56-85B1-F28E36F67715}" name="References" dataDxfId="20"/>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14EA264-FB18-4B2B-8736-A321D43EB917}" name="Table46734" displayName="Table46734" ref="A1:K31" totalsRowCount="1" headerRowDxfId="19" dataDxfId="18" headerRowBorderDxfId="16" tableBorderDxfId="17">
  <autoFilter ref="A1:K30" xr:uid="{B98AB582-085A-46A8-9291-181B492BB430}"/>
  <tableColumns count="11">
    <tableColumn id="1" xr3:uid="{7274F6C4-CF97-4ED0-9775-9FA723BB9553}" name="item number" dataDxfId="14" totalsRowDxfId="15"/>
    <tableColumn id="2" xr3:uid="{2A142E17-6C8A-41FD-ACE9-4D4F4E3A1A9B}" name="WP" dataDxfId="12" totalsRowDxfId="13"/>
    <tableColumn id="3" xr3:uid="{32BD19BC-FA0C-40B6-9EDB-D3F86DF6094F}" name="WP ID" dataDxfId="10" totalsRowDxfId="11"/>
    <tableColumn id="5" xr3:uid="{8996288C-A450-4DB6-B0A3-C814AF240007}" name="Activities List"/>
    <tableColumn id="6" xr3:uid="{4149D68C-9754-4F91-9E0A-416DB7444670}" name="Cost per unit "/>
    <tableColumn id="7" xr3:uid="{E13B14E6-424E-4179-A57E-C9184FC32D36}" name="unit per duration "/>
    <tableColumn id="8" xr3:uid="{B5E978BA-FAB9-45F0-891B-B08B4A18F5EC}" name="Quantity" dataDxfId="8" totalsRowDxfId="9" dataCellStyle="Comma 18"/>
    <tableColumn id="22" xr3:uid="{9156389C-5908-4CDD-A158-9A6BDDF7C4DF}" name="unit" dataDxfId="6" totalsRowDxfId="7" dataCellStyle="Comma 18"/>
    <tableColumn id="9" xr3:uid="{19528317-CC1A-4B59-AF11-9EF1CFD5E900}" name="Total Cost " totalsRowFunction="custom" dataDxfId="4" totalsRowDxfId="5">
      <totalsRowFormula>SUM(I27:I30)</totalsRowFormula>
    </tableColumn>
    <tableColumn id="10" xr3:uid="{5803C4EC-79B5-43C7-977A-1EE39AFCCD45}" name="duration in days" totalsRowFunction="custom" dataDxfId="2" totalsRowDxfId="3">
      <totalsRowFormula>SUM(J27:J30)</totalsRowFormula>
    </tableColumn>
    <tableColumn id="20" xr3:uid="{18048B1B-BE30-4616-BA00-C07B77E5E3B1}" name="References" dataDxfId="0" totalsRowDxfId="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books.google.com.qa/books?id=Fn3SwUueZaAC&amp;pg=PA209&amp;lpg=PA209&amp;dq=shade+steel+structure+for+fish+farm&amp;source=bl&amp;ots=LGWRNy-A_k&amp;sig=ACfU3U1_c1AnyjzOeJypjOvBQpq3GcuBWQ&amp;hl=en&amp;sa=X&amp;ved=2ahUKEwizz5zxk4fpAhUaWX0KHR69CqYQ6AEwCnoECAoQAQ"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alibaba.com/product-detail/220V-700w-air-pump-for-fish_1863126221.html?spm=a2700.galleryofferlist.0.0.418e529aD7x0Gq&amp;s=p" TargetMode="External"/><Relationship Id="rId3" Type="http://schemas.openxmlformats.org/officeDocument/2006/relationships/hyperlink" Target="https://www.alibaba.com/product-detail/Aquaculture-fish-farm-drum-filter-for_60704241767.html?spm=a2700.galleryofferlist.0.0.af2f192bvvYtmw&amp;s=p" TargetMode="External"/><Relationship Id="rId7" Type="http://schemas.openxmlformats.org/officeDocument/2006/relationships/hyperlink" Target="https://www.alibaba.com/product-detail/Chinese-factory-co2-degassing-for-ras_62540604689.html?spm=a2700.galleryofferlist.0.0.3cc24c21exnYPN&amp;bypass=true" TargetMode="External"/><Relationship Id="rId2" Type="http://schemas.openxmlformats.org/officeDocument/2006/relationships/hyperlink" Target="https://www.alibaba.com/product-detail/High-efficiency-water-treatment-equipment-for_60680041563.html?spm=a2700.galleryofferlist.0.0.569a6b2eY2pdDz&amp;bypass=true" TargetMode="External"/><Relationship Id="rId1" Type="http://schemas.openxmlformats.org/officeDocument/2006/relationships/hyperlink" Target="https://www.the-iot-marketplace.com/libelium-thing-lorawan-smart-fish-farming-solution-kit" TargetMode="External"/><Relationship Id="rId6" Type="http://schemas.openxmlformats.org/officeDocument/2006/relationships/hyperlink" Target="https://www.alibaba.com/product-detail/Aquacultural-Fish-Farm-Circulating-Water-Disinfection_60510886638.html?spm=a2700.galleryofferlist.0.0.5563626dAVBEag&amp;s=p" TargetMode="External"/><Relationship Id="rId5" Type="http://schemas.openxmlformats.org/officeDocument/2006/relationships/hyperlink" Target="https://www.alibaba.com/product-detail/Fish-waste-recycling-machine-condensate-recovery_60782955935.html?spm=a2700.galleryofferlist.0.0.6adb595cWD9vYN" TargetMode="External"/><Relationship Id="rId10" Type="http://schemas.openxmlformats.org/officeDocument/2006/relationships/table" Target="../tables/table2.xml"/><Relationship Id="rId4" Type="http://schemas.openxmlformats.org/officeDocument/2006/relationships/hyperlink" Target="https://www.alibaba.com/product-detail/Fish-pond-recirculation-water-aquaculture-bio_60607468311.html?spm=a2700.galleryofferlist.0.0.37417988r57p8P"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table" Target="../tables/table3.xml"/><Relationship Id="rId3" Type="http://schemas.openxmlformats.org/officeDocument/2006/relationships/hyperlink" Target="https://www.alibaba.com/product-detail/FRM-1120LD-HUALIAN-Bag-Sealing-Tape_1507683058.html?spm=a2700.galleryofferlist.0.0.3fbe2298cdxgi1&amp;bypass=true" TargetMode="External"/><Relationship Id="rId7" Type="http://schemas.openxmlformats.org/officeDocument/2006/relationships/printerSettings" Target="../printerSettings/printerSettings3.bin"/><Relationship Id="rId2" Type="http://schemas.openxmlformats.org/officeDocument/2006/relationships/hyperlink" Target="https://www.alibaba.com/product-detail/China-manufacturer-customized-conveyor-belt_60404043081.html?spm=a2700.details.deiletai6.2.4ec97704q3TO9b" TargetMode="External"/><Relationship Id="rId1" Type="http://schemas.openxmlformats.org/officeDocument/2006/relationships/hyperlink" Target="https://www.alibaba.com/product-detail/Logo-Customization-Individual-Freezing-Quick-Leading_62552035480.html?spm=a2700.galleryofferlist.0.0.754e32cdbsv93Q&amp;s=p&amp;bypass=true" TargetMode="External"/><Relationship Id="rId6" Type="http://schemas.openxmlformats.org/officeDocument/2006/relationships/hyperlink" Target="https://www.alibaba.com/product-detail/20TON-Rooftop-air-cooled-unit_60380990411.html?spm=a2700.details.deiletai6.8.40695fb5BztEpt&amp;bypass=true" TargetMode="External"/><Relationship Id="rId5" Type="http://schemas.openxmlformats.org/officeDocument/2006/relationships/hyperlink" Target="https://www.alibaba.com/product-detail/Packaging-Customization-Up-Door-Roll-Fast_60838677269.html?spm=a2700.drainage_lp_1.0.0.45e36dd0a2Z7gA&amp;s=p&amp;bypass=true" TargetMode="External"/><Relationship Id="rId4" Type="http://schemas.openxmlformats.org/officeDocument/2006/relationships/hyperlink" Target="https://www.alibaba.com/product-detail/Food-Rack-System-Food-Or-Cold_62441503848.html?spm=a2700.galleryofferlist.0.0.6cbc3f9dtTBGcU&amp;s=p&amp;bypass=true"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rinterSettings" Target="../printerSettings/printerSettings4.bin"/><Relationship Id="rId1" Type="http://schemas.openxmlformats.org/officeDocument/2006/relationships/hyperlink" Target="https://www.alibaba.com/product-detail/20TON-Rooftop-air-cooled-unit_60380990411.html?spm=a2700.details.deiletai6.8.40695fb5BztEpt&amp;bypass=true"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www.fao.org/3/AC155E16.htm" TargetMode="External"/><Relationship Id="rId1" Type="http://schemas.openxmlformats.org/officeDocument/2006/relationships/hyperlink" Target="https://steemit.com/engineering/@kharrazi/excavator-and-calculate-its-productivit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D1AC0-6836-4104-A83E-97A8642F43BC}">
  <dimension ref="A1:K237"/>
  <sheetViews>
    <sheetView tabSelected="1" topLeftCell="H1" zoomScale="55" zoomScaleNormal="55" workbookViewId="0">
      <selection sqref="A1:J1"/>
    </sheetView>
  </sheetViews>
  <sheetFormatPr defaultColWidth="8.7109375" defaultRowHeight="14.45"/>
  <cols>
    <col min="1" max="1" width="38.140625" style="1" bestFit="1" customWidth="1"/>
    <col min="2" max="2" width="90.5703125" style="1" bestFit="1" customWidth="1"/>
    <col min="3" max="3" width="19.5703125" style="1" bestFit="1" customWidth="1"/>
    <col min="4" max="4" width="22.140625" style="1" bestFit="1" customWidth="1"/>
    <col min="5" max="5" width="14.5703125" style="1" bestFit="1" customWidth="1"/>
    <col min="6" max="6" width="17.140625" style="1" bestFit="1" customWidth="1"/>
    <col min="7" max="7" width="21.140625" style="1" customWidth="1"/>
    <col min="8" max="8" width="17" style="1" customWidth="1"/>
    <col min="9" max="9" width="16.5703125" style="1" bestFit="1" customWidth="1"/>
    <col min="10" max="10" width="255.5703125" style="2" bestFit="1" customWidth="1"/>
    <col min="11" max="11" width="198.5703125" style="1" bestFit="1" customWidth="1"/>
    <col min="12" max="16384" width="8.7109375" style="1"/>
  </cols>
  <sheetData>
    <row r="1" spans="1:11">
      <c r="A1" s="1" t="s">
        <v>0</v>
      </c>
      <c r="B1" s="1" t="s">
        <v>1</v>
      </c>
      <c r="C1" s="1" t="s">
        <v>2</v>
      </c>
      <c r="D1" s="1" t="s">
        <v>3</v>
      </c>
      <c r="E1" s="1" t="s">
        <v>4</v>
      </c>
      <c r="F1" s="1" t="s">
        <v>5</v>
      </c>
      <c r="G1" s="1" t="s">
        <v>6</v>
      </c>
      <c r="H1" s="1" t="s">
        <v>7</v>
      </c>
      <c r="I1" s="1" t="s">
        <v>8</v>
      </c>
      <c r="J1" s="2" t="s">
        <v>9</v>
      </c>
      <c r="K1" s="1" t="s">
        <v>10</v>
      </c>
    </row>
    <row r="3" spans="1:11">
      <c r="A3" s="2" t="s">
        <v>11</v>
      </c>
      <c r="F3" s="7"/>
      <c r="G3" s="183"/>
    </row>
    <row r="4" spans="1:11">
      <c r="B4" s="2" t="s">
        <v>12</v>
      </c>
      <c r="C4" s="1">
        <v>0.25</v>
      </c>
      <c r="D4" s="1">
        <v>100</v>
      </c>
      <c r="E4" s="13">
        <f>400000*1.2</f>
        <v>480000</v>
      </c>
      <c r="F4" s="7">
        <f>(Table1[[#This Row],[Quantity]]/Table1[[#This Row],[unit per duration ]])</f>
        <v>4800</v>
      </c>
      <c r="G4" s="183">
        <f>((Table1[[#This Row],[Quantity]]/Table1[[#This Row],[unit per duration ]])/24)/10</f>
        <v>20</v>
      </c>
      <c r="J4" s="187" t="s">
        <v>13</v>
      </c>
    </row>
    <row r="5" spans="1:11">
      <c r="B5" s="2" t="s">
        <v>14</v>
      </c>
      <c r="C5" s="4">
        <v>200</v>
      </c>
      <c r="D5" s="5">
        <v>43.5</v>
      </c>
      <c r="E5" s="6">
        <f>400000*2</f>
        <v>800000</v>
      </c>
      <c r="F5" s="4">
        <f>(Table1[[#This Row],[Quantity]]/Table1[[#This Row],[unit per duration ]])*Table1[[#This Row],[Cost per unit ]]</f>
        <v>3678160.9195402302</v>
      </c>
      <c r="G5" s="183">
        <f>((Table1[[#This Row],[Quantity]]/Table1[[#This Row],[unit per duration ]])/10)/40</f>
        <v>45.977011494252871</v>
      </c>
      <c r="I5" s="1" t="s">
        <v>15</v>
      </c>
      <c r="J5" s="187" t="s">
        <v>16</v>
      </c>
    </row>
    <row r="6" spans="1:11">
      <c r="B6" s="2" t="s">
        <v>17</v>
      </c>
      <c r="C6" s="4">
        <v>14.56</v>
      </c>
      <c r="D6" s="5" t="s">
        <v>18</v>
      </c>
      <c r="E6" s="6">
        <f>400000*2</f>
        <v>800000</v>
      </c>
      <c r="F6" s="14">
        <f>Table1[[#This Row],[Quantity]]/Table1[[#This Row],[Cost per unit ]]</f>
        <v>54945.054945054944</v>
      </c>
      <c r="G6" s="183">
        <v>10</v>
      </c>
      <c r="J6" s="187"/>
    </row>
    <row r="7" spans="1:11">
      <c r="B7" s="2" t="s">
        <v>19</v>
      </c>
      <c r="C7" s="17">
        <v>11.26</v>
      </c>
      <c r="D7" s="12">
        <v>4200</v>
      </c>
      <c r="E7" s="13">
        <f>400000*(150/1000)</f>
        <v>60000</v>
      </c>
      <c r="F7" s="7">
        <f>Table1[[#This Row],[Quantity]]/Table1[[#This Row],[Cost per unit ]]</f>
        <v>5328.5968028419184</v>
      </c>
      <c r="G7" s="183">
        <f>Table1[[#This Row],[Quantity]]/(Table1[[#This Row],[unit per duration ]]*5)</f>
        <v>2.8571428571428572</v>
      </c>
      <c r="I7" s="1" t="s">
        <v>20</v>
      </c>
      <c r="J7" s="2" t="s">
        <v>21</v>
      </c>
    </row>
    <row r="8" spans="1:11">
      <c r="B8" s="15" t="s">
        <v>22</v>
      </c>
      <c r="C8" s="18">
        <f>0.8 *(1+1/5)</f>
        <v>0.96</v>
      </c>
      <c r="D8" s="16">
        <v>10000</v>
      </c>
      <c r="E8" s="13">
        <f>400000*1.2</f>
        <v>480000</v>
      </c>
      <c r="F8" s="7">
        <f>Table1[[#This Row],[Quantity]]*Table1[[#This Row],[Cost per unit ]]</f>
        <v>460800</v>
      </c>
      <c r="G8" s="183">
        <f>((Table1[[#This Row],[Quantity]]/Table1[[#This Row],[unit per duration ]]))</f>
        <v>48</v>
      </c>
      <c r="J8" s="2" t="s">
        <v>21</v>
      </c>
    </row>
    <row r="9" spans="1:11">
      <c r="A9" s="2" t="s">
        <v>23</v>
      </c>
      <c r="F9" s="7"/>
      <c r="G9" s="183"/>
    </row>
    <row r="10" spans="1:11">
      <c r="B10" s="3" t="s">
        <v>24</v>
      </c>
      <c r="C10" s="1">
        <v>15</v>
      </c>
      <c r="E10" s="13">
        <f>E4</f>
        <v>480000</v>
      </c>
      <c r="F10" s="9">
        <f>Table1[[#This Row],[Quantity]]*Table1[[#This Row],[Cost per unit ]]</f>
        <v>7200000</v>
      </c>
      <c r="G10" s="183">
        <f>30*4</f>
        <v>120</v>
      </c>
      <c r="J10" s="2" t="s">
        <v>25</v>
      </c>
    </row>
    <row r="11" spans="1:11">
      <c r="B11" s="3" t="s">
        <v>26</v>
      </c>
      <c r="C11" s="19">
        <f>0.06*(1+1/5)</f>
        <v>7.1999999999999995E-2</v>
      </c>
      <c r="D11" s="10">
        <f>250</f>
        <v>250</v>
      </c>
      <c r="E11" s="1">
        <f>400000*1.5</f>
        <v>600000</v>
      </c>
      <c r="F11" s="9">
        <f>Table1[[#This Row],[Quantity]]*Table1[[#This Row],[Cost per unit ]]</f>
        <v>43200</v>
      </c>
      <c r="G11" s="183">
        <f>((Table1[[#This Row],[Quantity]]/Table1[[#This Row],[unit per duration ]])/8)/10</f>
        <v>30</v>
      </c>
      <c r="H11" s="1" t="s">
        <v>27</v>
      </c>
      <c r="J11" s="187" t="s">
        <v>28</v>
      </c>
    </row>
    <row r="78" spans="2:5" ht="56.1">
      <c r="B78" s="28" t="s">
        <v>29</v>
      </c>
      <c r="C78" s="26"/>
      <c r="D78" s="26"/>
      <c r="E78" s="27"/>
    </row>
    <row r="79" spans="2:5" ht="42">
      <c r="B79" s="28" t="s">
        <v>30</v>
      </c>
      <c r="C79" s="26"/>
      <c r="D79" s="26"/>
      <c r="E79" s="27"/>
    </row>
    <row r="80" spans="2:5" ht="27.95">
      <c r="B80" s="28" t="s">
        <v>31</v>
      </c>
      <c r="C80" s="26"/>
      <c r="D80" s="26"/>
      <c r="E80" s="27"/>
    </row>
    <row r="81" spans="2:5">
      <c r="B81" s="28" t="s">
        <v>32</v>
      </c>
      <c r="C81" s="26"/>
      <c r="D81" s="26"/>
      <c r="E81" s="27"/>
    </row>
    <row r="82" spans="2:5" ht="27.95">
      <c r="B82" s="28" t="s">
        <v>33</v>
      </c>
      <c r="C82" s="26"/>
      <c r="D82" s="26"/>
      <c r="E82" s="27"/>
    </row>
    <row r="83" spans="2:5" ht="27.95">
      <c r="B83" s="29" t="s">
        <v>34</v>
      </c>
      <c r="C83" s="26"/>
      <c r="D83" s="26"/>
      <c r="E83" s="27"/>
    </row>
    <row r="84" spans="2:5" ht="42">
      <c r="B84" s="30" t="s">
        <v>35</v>
      </c>
      <c r="C84" s="26"/>
      <c r="D84" s="26"/>
      <c r="E84" s="27"/>
    </row>
    <row r="85" spans="2:5" ht="27.95">
      <c r="B85" s="31" t="s">
        <v>36</v>
      </c>
      <c r="C85" s="26"/>
      <c r="D85" s="26"/>
      <c r="E85" s="27"/>
    </row>
    <row r="86" spans="2:5" ht="27.95">
      <c r="B86" s="32" t="s">
        <v>37</v>
      </c>
      <c r="C86" s="26"/>
      <c r="D86" s="26"/>
      <c r="E86" s="27"/>
    </row>
    <row r="87" spans="2:5" ht="42">
      <c r="B87" s="33" t="s">
        <v>38</v>
      </c>
      <c r="C87" s="34"/>
      <c r="D87" s="34"/>
      <c r="E87" s="35"/>
    </row>
    <row r="88" spans="2:5">
      <c r="B88" s="36" t="s">
        <v>39</v>
      </c>
      <c r="C88" s="26"/>
      <c r="D88" s="26"/>
      <c r="E88" s="27"/>
    </row>
    <row r="89" spans="2:5" ht="56.1">
      <c r="B89" s="37" t="s">
        <v>40</v>
      </c>
      <c r="C89" s="26"/>
      <c r="D89" s="26"/>
      <c r="E89" s="27"/>
    </row>
    <row r="90" spans="2:5">
      <c r="B90" s="38" t="s">
        <v>41</v>
      </c>
      <c r="C90" s="39"/>
      <c r="D90" s="39"/>
      <c r="E90" s="40"/>
    </row>
    <row r="91" spans="2:5">
      <c r="B91" s="41" t="s">
        <v>42</v>
      </c>
      <c r="C91" s="39">
        <v>45</v>
      </c>
      <c r="D91" s="39" t="s">
        <v>43</v>
      </c>
      <c r="E91" s="42"/>
    </row>
    <row r="92" spans="2:5">
      <c r="B92" s="41" t="s">
        <v>44</v>
      </c>
      <c r="C92" s="39">
        <v>30</v>
      </c>
      <c r="D92" s="39" t="s">
        <v>43</v>
      </c>
      <c r="E92" s="42"/>
    </row>
    <row r="93" spans="2:5">
      <c r="B93" s="41" t="s">
        <v>45</v>
      </c>
      <c r="C93" s="26"/>
      <c r="D93" s="39"/>
      <c r="E93" s="27"/>
    </row>
    <row r="94" spans="2:5">
      <c r="B94" s="43" t="s">
        <v>46</v>
      </c>
      <c r="C94" s="26"/>
      <c r="D94" s="44"/>
      <c r="E94" s="27"/>
    </row>
    <row r="95" spans="2:5">
      <c r="B95" s="41" t="s">
        <v>47</v>
      </c>
      <c r="C95" s="26"/>
      <c r="D95" s="39" t="s">
        <v>48</v>
      </c>
      <c r="E95" s="42"/>
    </row>
    <row r="96" spans="2:5">
      <c r="B96" s="41" t="s">
        <v>49</v>
      </c>
      <c r="C96" s="26"/>
      <c r="D96" s="39" t="s">
        <v>48</v>
      </c>
      <c r="E96" s="42"/>
    </row>
    <row r="97" spans="2:5">
      <c r="B97" s="45" t="s">
        <v>50</v>
      </c>
      <c r="C97" s="46"/>
      <c r="D97" s="46"/>
      <c r="E97" s="47"/>
    </row>
    <row r="98" spans="2:5">
      <c r="B98" s="31" t="s">
        <v>51</v>
      </c>
      <c r="C98" s="26"/>
      <c r="D98" s="39"/>
      <c r="E98" s="27"/>
    </row>
    <row r="99" spans="2:5">
      <c r="B99" s="41" t="s">
        <v>42</v>
      </c>
      <c r="C99" s="26"/>
      <c r="D99" s="39" t="s">
        <v>48</v>
      </c>
      <c r="E99" s="42"/>
    </row>
    <row r="100" spans="2:5">
      <c r="B100" s="41" t="s">
        <v>44</v>
      </c>
      <c r="C100" s="26"/>
      <c r="D100" s="39" t="s">
        <v>48</v>
      </c>
      <c r="E100" s="42"/>
    </row>
    <row r="101" spans="2:5">
      <c r="B101" s="41" t="s">
        <v>52</v>
      </c>
      <c r="C101" s="39"/>
      <c r="D101" s="39" t="s">
        <v>48</v>
      </c>
      <c r="E101" s="42"/>
    </row>
    <row r="102" spans="2:5">
      <c r="B102" s="31" t="s">
        <v>53</v>
      </c>
      <c r="C102" s="26"/>
      <c r="D102" s="26"/>
      <c r="E102" s="27"/>
    </row>
    <row r="103" spans="2:5">
      <c r="B103" s="41" t="s">
        <v>42</v>
      </c>
      <c r="C103" s="39">
        <v>2</v>
      </c>
      <c r="D103" s="39" t="s">
        <v>54</v>
      </c>
      <c r="E103" s="42"/>
    </row>
    <row r="104" spans="2:5">
      <c r="B104" s="31" t="s">
        <v>55</v>
      </c>
      <c r="C104" s="26"/>
      <c r="D104" s="26"/>
      <c r="E104" s="27"/>
    </row>
    <row r="105" spans="2:5">
      <c r="B105" s="38" t="s">
        <v>56</v>
      </c>
      <c r="C105" s="39"/>
      <c r="D105" s="39"/>
      <c r="E105" s="40"/>
    </row>
    <row r="106" spans="2:5">
      <c r="B106" s="41" t="s">
        <v>42</v>
      </c>
      <c r="C106" s="39">
        <v>14</v>
      </c>
      <c r="D106" s="39" t="s">
        <v>54</v>
      </c>
      <c r="E106" s="42"/>
    </row>
    <row r="107" spans="2:5">
      <c r="B107" s="41" t="s">
        <v>44</v>
      </c>
      <c r="C107" s="39">
        <v>13</v>
      </c>
      <c r="D107" s="39" t="s">
        <v>54</v>
      </c>
      <c r="E107" s="42"/>
    </row>
    <row r="108" spans="2:5">
      <c r="B108" s="41" t="s">
        <v>57</v>
      </c>
      <c r="C108" s="39"/>
      <c r="D108" s="39"/>
      <c r="E108" s="40"/>
    </row>
    <row r="109" spans="2:5">
      <c r="B109" s="41" t="s">
        <v>42</v>
      </c>
      <c r="C109" s="39">
        <v>6</v>
      </c>
      <c r="D109" s="39" t="s">
        <v>54</v>
      </c>
      <c r="E109" s="42"/>
    </row>
    <row r="110" spans="2:5">
      <c r="B110" s="41" t="s">
        <v>44</v>
      </c>
      <c r="C110" s="39">
        <v>13</v>
      </c>
      <c r="D110" s="39" t="s">
        <v>54</v>
      </c>
      <c r="E110" s="42"/>
    </row>
    <row r="111" spans="2:5">
      <c r="B111" s="31" t="s">
        <v>58</v>
      </c>
      <c r="C111" s="46"/>
      <c r="D111" s="46"/>
      <c r="E111" s="47"/>
    </row>
    <row r="112" spans="2:5">
      <c r="B112" s="41" t="s">
        <v>42</v>
      </c>
      <c r="C112" s="26"/>
      <c r="D112" s="39" t="s">
        <v>48</v>
      </c>
      <c r="E112" s="42"/>
    </row>
    <row r="113" spans="2:5">
      <c r="B113" s="41" t="s">
        <v>44</v>
      </c>
      <c r="C113" s="26"/>
      <c r="D113" s="39" t="s">
        <v>48</v>
      </c>
      <c r="E113" s="42"/>
    </row>
    <row r="114" spans="2:5">
      <c r="B114" s="41" t="s">
        <v>52</v>
      </c>
      <c r="C114" s="39"/>
      <c r="D114" s="39" t="s">
        <v>48</v>
      </c>
      <c r="E114" s="42"/>
    </row>
    <row r="115" spans="2:5">
      <c r="B115" s="191" t="s">
        <v>59</v>
      </c>
      <c r="C115" s="191"/>
      <c r="D115" s="191"/>
      <c r="E115" s="191"/>
    </row>
    <row r="116" spans="2:5">
      <c r="B116" s="191" t="s">
        <v>60</v>
      </c>
      <c r="C116" s="191"/>
      <c r="D116" s="191"/>
      <c r="E116" s="191"/>
    </row>
    <row r="117" spans="2:5">
      <c r="B117" s="31" t="s">
        <v>61</v>
      </c>
      <c r="C117" s="46"/>
      <c r="D117" s="46"/>
      <c r="E117" s="47"/>
    </row>
    <row r="118" spans="2:5">
      <c r="B118" s="41" t="s">
        <v>52</v>
      </c>
      <c r="C118" s="39"/>
      <c r="D118" s="39" t="s">
        <v>48</v>
      </c>
      <c r="E118" s="42"/>
    </row>
    <row r="119" spans="2:5">
      <c r="B119" s="38" t="s">
        <v>62</v>
      </c>
      <c r="C119" s="39"/>
      <c r="D119" s="39"/>
      <c r="E119" s="40"/>
    </row>
    <row r="120" spans="2:5">
      <c r="B120" s="48" t="s">
        <v>63</v>
      </c>
      <c r="C120" s="39"/>
      <c r="D120" s="39"/>
      <c r="E120" s="40"/>
    </row>
    <row r="121" spans="2:5">
      <c r="B121" s="41" t="s">
        <v>64</v>
      </c>
      <c r="C121" s="39"/>
      <c r="D121" s="39" t="s">
        <v>48</v>
      </c>
      <c r="E121" s="42"/>
    </row>
    <row r="122" spans="2:5">
      <c r="B122" s="41" t="s">
        <v>65</v>
      </c>
      <c r="C122" s="39"/>
      <c r="D122" s="39" t="s">
        <v>48</v>
      </c>
      <c r="E122" s="42"/>
    </row>
    <row r="123" spans="2:5">
      <c r="B123" s="41" t="s">
        <v>66</v>
      </c>
      <c r="C123" s="39"/>
      <c r="D123" s="39" t="s">
        <v>48</v>
      </c>
      <c r="E123" s="42"/>
    </row>
    <row r="124" spans="2:5">
      <c r="B124" s="38" t="s">
        <v>67</v>
      </c>
      <c r="C124" s="26"/>
      <c r="D124" s="26"/>
      <c r="E124" s="27"/>
    </row>
    <row r="125" spans="2:5">
      <c r="B125" s="49" t="s">
        <v>68</v>
      </c>
      <c r="C125" s="26"/>
      <c r="D125" s="26"/>
      <c r="E125" s="27"/>
    </row>
    <row r="126" spans="2:5" ht="27.95">
      <c r="B126" s="50" t="s">
        <v>69</v>
      </c>
      <c r="C126" s="26"/>
      <c r="D126" s="26"/>
      <c r="E126" s="27"/>
    </row>
    <row r="127" spans="2:5">
      <c r="B127" s="41" t="s">
        <v>42</v>
      </c>
      <c r="C127" s="39">
        <v>45</v>
      </c>
      <c r="D127" s="39" t="s">
        <v>70</v>
      </c>
      <c r="E127" s="42"/>
    </row>
    <row r="128" spans="2:5">
      <c r="B128" s="41" t="s">
        <v>44</v>
      </c>
      <c r="C128" s="39">
        <v>30</v>
      </c>
      <c r="D128" s="39" t="s">
        <v>70</v>
      </c>
      <c r="E128" s="42"/>
    </row>
    <row r="129" spans="2:5">
      <c r="B129" s="31" t="s">
        <v>71</v>
      </c>
      <c r="C129" s="46"/>
      <c r="D129" s="46"/>
      <c r="E129" s="47"/>
    </row>
    <row r="130" spans="2:5">
      <c r="B130" s="38" t="s">
        <v>52</v>
      </c>
      <c r="C130" s="39"/>
      <c r="D130" s="39" t="s">
        <v>48</v>
      </c>
      <c r="E130" s="42"/>
    </row>
    <row r="131" spans="2:5">
      <c r="B131" s="51" t="s">
        <v>72</v>
      </c>
      <c r="C131" s="52"/>
      <c r="D131" s="52"/>
      <c r="E131" s="40"/>
    </row>
    <row r="132" spans="2:5" ht="42">
      <c r="B132" s="53" t="s">
        <v>73</v>
      </c>
      <c r="C132" s="44"/>
      <c r="D132" s="39"/>
      <c r="E132" s="42"/>
    </row>
    <row r="133" spans="2:5" ht="27.95">
      <c r="B133" s="54" t="s">
        <v>74</v>
      </c>
      <c r="C133" s="55"/>
      <c r="D133" s="56" t="s">
        <v>48</v>
      </c>
      <c r="E133" s="42"/>
    </row>
    <row r="134" spans="2:5" ht="27.95">
      <c r="B134" s="57" t="s">
        <v>75</v>
      </c>
      <c r="C134" s="58"/>
      <c r="D134" s="56" t="s">
        <v>48</v>
      </c>
      <c r="E134" s="42"/>
    </row>
    <row r="135" spans="2:5">
      <c r="B135" s="191" t="s">
        <v>59</v>
      </c>
      <c r="C135" s="191"/>
      <c r="D135" s="191"/>
      <c r="E135" s="191"/>
    </row>
    <row r="136" spans="2:5">
      <c r="B136" s="191" t="s">
        <v>60</v>
      </c>
      <c r="C136" s="191"/>
      <c r="D136" s="191"/>
      <c r="E136" s="191"/>
    </row>
    <row r="137" spans="2:5">
      <c r="B137" s="59" t="s">
        <v>76</v>
      </c>
      <c r="C137" s="26"/>
      <c r="D137" s="26"/>
      <c r="E137" s="27"/>
    </row>
    <row r="138" spans="2:5">
      <c r="B138" s="60" t="s">
        <v>77</v>
      </c>
      <c r="C138" s="61"/>
      <c r="D138" s="60"/>
      <c r="E138" s="62"/>
    </row>
    <row r="139" spans="2:5" ht="30.6">
      <c r="B139" s="63" t="s">
        <v>78</v>
      </c>
      <c r="C139" s="64"/>
      <c r="D139" s="65"/>
      <c r="E139" s="27"/>
    </row>
    <row r="140" spans="2:5" ht="27.95">
      <c r="B140" s="31" t="s">
        <v>79</v>
      </c>
      <c r="C140" s="66"/>
      <c r="D140" s="67"/>
      <c r="E140" s="68"/>
    </row>
    <row r="141" spans="2:5">
      <c r="B141" s="69" t="s">
        <v>80</v>
      </c>
      <c r="C141" s="26"/>
      <c r="D141" s="26"/>
      <c r="E141" s="27"/>
    </row>
    <row r="142" spans="2:5">
      <c r="B142" s="63" t="s">
        <v>81</v>
      </c>
      <c r="C142" s="26"/>
      <c r="D142" s="26"/>
      <c r="E142" s="27"/>
    </row>
    <row r="143" spans="2:5">
      <c r="B143" s="70" t="s">
        <v>82</v>
      </c>
      <c r="C143" s="71"/>
      <c r="D143" s="72"/>
      <c r="E143" s="40"/>
    </row>
    <row r="144" spans="2:5">
      <c r="B144" s="24" t="s">
        <v>83</v>
      </c>
      <c r="C144" s="71">
        <v>1</v>
      </c>
      <c r="D144" s="72" t="s">
        <v>54</v>
      </c>
      <c r="E144" s="42"/>
    </row>
    <row r="145" spans="1:5">
      <c r="B145" s="70" t="s">
        <v>84</v>
      </c>
      <c r="C145" s="73"/>
      <c r="D145" s="72"/>
      <c r="E145" s="40"/>
    </row>
    <row r="146" spans="1:5">
      <c r="B146" s="24" t="s">
        <v>85</v>
      </c>
      <c r="C146" s="66">
        <v>9</v>
      </c>
      <c r="D146" s="67" t="s">
        <v>54</v>
      </c>
      <c r="E146" s="68"/>
    </row>
    <row r="147" spans="1:5">
      <c r="B147" s="24" t="s">
        <v>86</v>
      </c>
      <c r="C147" s="71">
        <v>12</v>
      </c>
      <c r="D147" s="72" t="s">
        <v>54</v>
      </c>
      <c r="E147" s="68"/>
    </row>
    <row r="148" spans="1:5">
      <c r="B148" s="74" t="s">
        <v>87</v>
      </c>
      <c r="C148" s="66">
        <v>2</v>
      </c>
      <c r="D148" s="67" t="s">
        <v>54</v>
      </c>
      <c r="E148" s="68"/>
    </row>
    <row r="149" spans="1:5">
      <c r="B149" s="74" t="s">
        <v>88</v>
      </c>
      <c r="C149" s="66">
        <v>5</v>
      </c>
      <c r="D149" s="67" t="s">
        <v>54</v>
      </c>
      <c r="E149" s="68"/>
    </row>
    <row r="150" spans="1:5" ht="27.95">
      <c r="B150" s="31" t="s">
        <v>89</v>
      </c>
      <c r="C150" s="26"/>
      <c r="D150" s="39" t="s">
        <v>48</v>
      </c>
      <c r="E150" s="42"/>
    </row>
    <row r="151" spans="1:5">
      <c r="B151" s="75" t="s">
        <v>90</v>
      </c>
      <c r="C151" s="26"/>
      <c r="D151" s="76"/>
      <c r="E151" s="77"/>
    </row>
    <row r="152" spans="1:5">
      <c r="B152" s="38" t="s">
        <v>91</v>
      </c>
      <c r="C152" s="39">
        <v>8</v>
      </c>
      <c r="D152" s="78" t="s">
        <v>54</v>
      </c>
      <c r="E152" s="42"/>
    </row>
    <row r="153" spans="1:5">
      <c r="A153" s="79" t="s">
        <v>92</v>
      </c>
    </row>
    <row r="154" spans="1:5">
      <c r="B154" s="80" t="s">
        <v>93</v>
      </c>
      <c r="C154" s="81"/>
      <c r="D154" s="81"/>
    </row>
    <row r="155" spans="1:5">
      <c r="B155" s="82" t="s">
        <v>94</v>
      </c>
      <c r="C155" s="66">
        <v>40</v>
      </c>
      <c r="D155" s="67" t="s">
        <v>95</v>
      </c>
    </row>
    <row r="156" spans="1:5">
      <c r="B156" s="82" t="s">
        <v>96</v>
      </c>
      <c r="C156" s="66">
        <v>5</v>
      </c>
      <c r="D156" s="67" t="s">
        <v>95</v>
      </c>
    </row>
    <row r="157" spans="1:5">
      <c r="B157" s="83" t="s">
        <v>97</v>
      </c>
      <c r="C157" s="84"/>
      <c r="D157" s="84"/>
    </row>
    <row r="158" spans="1:5">
      <c r="B158" s="85" t="s">
        <v>98</v>
      </c>
      <c r="C158" s="84">
        <v>8</v>
      </c>
      <c r="D158" s="84" t="s">
        <v>99</v>
      </c>
    </row>
    <row r="159" spans="1:5">
      <c r="B159" s="86" t="s">
        <v>100</v>
      </c>
      <c r="C159" s="67"/>
      <c r="D159" s="67"/>
    </row>
    <row r="160" spans="1:5">
      <c r="B160" s="85" t="s">
        <v>101</v>
      </c>
      <c r="C160" s="84">
        <v>2</v>
      </c>
      <c r="D160" s="84" t="s">
        <v>99</v>
      </c>
    </row>
    <row r="161" spans="1:5">
      <c r="B161" s="85" t="s">
        <v>102</v>
      </c>
      <c r="C161" s="84"/>
      <c r="D161" s="84"/>
    </row>
    <row r="162" spans="1:5">
      <c r="B162" s="85" t="s">
        <v>103</v>
      </c>
      <c r="C162" s="84"/>
      <c r="D162" s="84"/>
    </row>
    <row r="163" spans="1:5">
      <c r="B163" s="87" t="s">
        <v>104</v>
      </c>
      <c r="C163" s="84"/>
      <c r="D163" s="84"/>
    </row>
    <row r="164" spans="1:5">
      <c r="B164" s="85" t="s">
        <v>105</v>
      </c>
      <c r="C164" s="84">
        <v>1</v>
      </c>
      <c r="D164" s="84" t="s">
        <v>99</v>
      </c>
    </row>
    <row r="165" spans="1:5">
      <c r="A165" s="88" t="s">
        <v>106</v>
      </c>
    </row>
    <row r="166" spans="1:5">
      <c r="B166" s="89" t="s">
        <v>107</v>
      </c>
      <c r="C166" s="90"/>
      <c r="D166" s="91"/>
      <c r="E166" s="92"/>
    </row>
    <row r="167" spans="1:5" ht="27.95">
      <c r="B167" s="93" t="s">
        <v>108</v>
      </c>
      <c r="C167" s="94"/>
      <c r="D167" s="91"/>
      <c r="E167" s="92"/>
    </row>
    <row r="168" spans="1:5">
      <c r="B168" s="90" t="s">
        <v>109</v>
      </c>
      <c r="C168" s="95">
        <v>1</v>
      </c>
      <c r="D168" s="96" t="s">
        <v>99</v>
      </c>
      <c r="E168" s="68"/>
    </row>
    <row r="169" spans="1:5" ht="27.95">
      <c r="B169" s="93" t="s">
        <v>110</v>
      </c>
      <c r="C169" s="94"/>
      <c r="D169" s="91"/>
      <c r="E169" s="92"/>
    </row>
    <row r="170" spans="1:5">
      <c r="B170" s="90" t="s">
        <v>111</v>
      </c>
      <c r="C170" s="95">
        <v>1</v>
      </c>
      <c r="D170" s="96" t="s">
        <v>99</v>
      </c>
      <c r="E170" s="68"/>
    </row>
    <row r="171" spans="1:5">
      <c r="B171" s="90" t="s">
        <v>112</v>
      </c>
      <c r="C171" s="95">
        <v>1</v>
      </c>
      <c r="D171" s="96" t="s">
        <v>99</v>
      </c>
      <c r="E171" s="68"/>
    </row>
    <row r="172" spans="1:5">
      <c r="B172" s="93" t="s">
        <v>113</v>
      </c>
      <c r="C172" s="94"/>
      <c r="D172" s="91"/>
      <c r="E172" s="92"/>
    </row>
    <row r="173" spans="1:5">
      <c r="B173" s="90" t="s">
        <v>114</v>
      </c>
      <c r="C173" s="95">
        <v>2</v>
      </c>
      <c r="D173" s="96" t="s">
        <v>99</v>
      </c>
      <c r="E173" s="68"/>
    </row>
    <row r="174" spans="1:5">
      <c r="B174" s="89" t="s">
        <v>115</v>
      </c>
      <c r="C174" s="95"/>
      <c r="D174" s="96"/>
      <c r="E174" s="97"/>
    </row>
    <row r="175" spans="1:5">
      <c r="B175" s="93" t="s">
        <v>116</v>
      </c>
      <c r="C175" s="94"/>
      <c r="D175" s="91"/>
      <c r="E175" s="92"/>
    </row>
    <row r="176" spans="1:5">
      <c r="B176" s="90" t="s">
        <v>117</v>
      </c>
      <c r="C176" s="95">
        <v>5</v>
      </c>
      <c r="D176" s="96" t="s">
        <v>95</v>
      </c>
      <c r="E176" s="68"/>
    </row>
    <row r="177" spans="2:5">
      <c r="B177" s="90" t="s">
        <v>118</v>
      </c>
      <c r="C177" s="95">
        <v>40</v>
      </c>
      <c r="D177" s="96" t="s">
        <v>95</v>
      </c>
      <c r="E177" s="68"/>
    </row>
    <row r="178" spans="2:5">
      <c r="B178" s="98" t="s">
        <v>119</v>
      </c>
      <c r="C178" s="66">
        <v>100</v>
      </c>
      <c r="D178" s="67" t="s">
        <v>95</v>
      </c>
      <c r="E178" s="68"/>
    </row>
    <row r="179" spans="2:5">
      <c r="B179" s="90" t="s">
        <v>120</v>
      </c>
      <c r="C179" s="95"/>
      <c r="D179" s="96"/>
      <c r="E179" s="97"/>
    </row>
    <row r="180" spans="2:5">
      <c r="B180" s="90" t="s">
        <v>121</v>
      </c>
      <c r="C180" s="95">
        <v>45</v>
      </c>
      <c r="D180" s="96" t="s">
        <v>95</v>
      </c>
      <c r="E180" s="68"/>
    </row>
    <row r="181" spans="2:5">
      <c r="B181" s="90" t="s">
        <v>122</v>
      </c>
      <c r="C181" s="66">
        <v>100</v>
      </c>
      <c r="D181" s="67" t="s">
        <v>95</v>
      </c>
      <c r="E181" s="68"/>
    </row>
    <row r="182" spans="2:5">
      <c r="B182" s="89" t="s">
        <v>123</v>
      </c>
      <c r="C182" s="99"/>
      <c r="D182" s="100"/>
      <c r="E182" s="101"/>
    </row>
    <row r="183" spans="2:5">
      <c r="B183" s="93" t="s">
        <v>124</v>
      </c>
      <c r="C183" s="94"/>
      <c r="D183" s="91"/>
      <c r="E183" s="92"/>
    </row>
    <row r="184" spans="2:5">
      <c r="B184" s="90" t="s">
        <v>125</v>
      </c>
      <c r="C184" s="95">
        <v>130</v>
      </c>
      <c r="D184" s="96" t="s">
        <v>99</v>
      </c>
      <c r="E184" s="68"/>
    </row>
    <row r="185" spans="2:5">
      <c r="B185" s="90" t="s">
        <v>125</v>
      </c>
      <c r="C185" s="95">
        <v>44</v>
      </c>
      <c r="D185" s="96" t="s">
        <v>99</v>
      </c>
      <c r="E185" s="68"/>
    </row>
    <row r="186" spans="2:5">
      <c r="B186" s="90" t="s">
        <v>126</v>
      </c>
      <c r="C186" s="95">
        <v>6</v>
      </c>
      <c r="D186" s="96" t="s">
        <v>99</v>
      </c>
      <c r="E186" s="68"/>
    </row>
    <row r="187" spans="2:5">
      <c r="B187" s="90" t="s">
        <v>127</v>
      </c>
      <c r="C187" s="95">
        <v>4</v>
      </c>
      <c r="D187" s="96" t="s">
        <v>99</v>
      </c>
      <c r="E187" s="68"/>
    </row>
    <row r="188" spans="2:5">
      <c r="B188" s="90" t="s">
        <v>128</v>
      </c>
      <c r="C188" s="95">
        <v>4</v>
      </c>
      <c r="D188" s="96" t="s">
        <v>99</v>
      </c>
      <c r="E188" s="68"/>
    </row>
    <row r="189" spans="2:5">
      <c r="B189" s="90" t="s">
        <v>129</v>
      </c>
      <c r="C189" s="95">
        <v>20</v>
      </c>
      <c r="D189" s="96" t="s">
        <v>99</v>
      </c>
      <c r="E189" s="68"/>
    </row>
    <row r="190" spans="2:5">
      <c r="B190" s="189" t="s">
        <v>130</v>
      </c>
      <c r="C190" s="189"/>
      <c r="D190" s="189"/>
      <c r="E190" s="190"/>
    </row>
    <row r="191" spans="2:5">
      <c r="B191" s="189" t="s">
        <v>131</v>
      </c>
      <c r="C191" s="189"/>
      <c r="D191" s="189"/>
      <c r="E191" s="190"/>
    </row>
    <row r="192" spans="2:5" ht="42">
      <c r="B192" s="93" t="s">
        <v>132</v>
      </c>
      <c r="C192" s="94"/>
      <c r="D192" s="100"/>
      <c r="E192" s="101"/>
    </row>
    <row r="193" spans="2:5">
      <c r="B193" s="90" t="s">
        <v>133</v>
      </c>
      <c r="C193" s="95"/>
      <c r="D193" s="96"/>
      <c r="E193" s="97"/>
    </row>
    <row r="194" spans="2:5">
      <c r="B194" s="102" t="s">
        <v>134</v>
      </c>
      <c r="C194" s="103">
        <f>12+28</f>
        <v>40</v>
      </c>
      <c r="D194" s="96" t="s">
        <v>99</v>
      </c>
      <c r="E194" s="68"/>
    </row>
    <row r="195" spans="2:5">
      <c r="B195" s="104" t="s">
        <v>135</v>
      </c>
      <c r="C195" s="103">
        <f>4+12</f>
        <v>16</v>
      </c>
      <c r="D195" s="96" t="s">
        <v>99</v>
      </c>
      <c r="E195" s="68"/>
    </row>
    <row r="196" spans="2:5">
      <c r="B196" s="105" t="s">
        <v>136</v>
      </c>
      <c r="C196" s="103">
        <f>33+14</f>
        <v>47</v>
      </c>
      <c r="D196" s="96" t="s">
        <v>99</v>
      </c>
      <c r="E196" s="68"/>
    </row>
    <row r="197" spans="2:5" ht="27.95">
      <c r="B197" s="105" t="s">
        <v>137</v>
      </c>
      <c r="C197" s="103">
        <f>3+9</f>
        <v>12</v>
      </c>
      <c r="D197" s="96" t="s">
        <v>99</v>
      </c>
      <c r="E197" s="68"/>
    </row>
    <row r="198" spans="2:5" ht="27.95">
      <c r="B198" s="105" t="s">
        <v>138</v>
      </c>
      <c r="C198" s="103">
        <f>8+0</f>
        <v>8</v>
      </c>
      <c r="D198" s="96" t="s">
        <v>99</v>
      </c>
      <c r="E198" s="68"/>
    </row>
    <row r="199" spans="2:5">
      <c r="B199" s="102" t="s">
        <v>139</v>
      </c>
      <c r="C199" s="103">
        <f>5+2</f>
        <v>7</v>
      </c>
      <c r="D199" s="96" t="s">
        <v>99</v>
      </c>
      <c r="E199" s="68"/>
    </row>
    <row r="200" spans="2:5">
      <c r="B200" s="106" t="s">
        <v>140</v>
      </c>
      <c r="C200" s="90"/>
      <c r="D200" s="90"/>
      <c r="E200" s="101"/>
    </row>
    <row r="201" spans="2:5">
      <c r="B201" s="107" t="s">
        <v>141</v>
      </c>
      <c r="C201" s="103">
        <f>7+6</f>
        <v>13</v>
      </c>
      <c r="D201" s="96" t="s">
        <v>99</v>
      </c>
      <c r="E201" s="68"/>
    </row>
    <row r="202" spans="2:5">
      <c r="B202" s="107" t="s">
        <v>135</v>
      </c>
      <c r="C202" s="103">
        <f>1+3</f>
        <v>4</v>
      </c>
      <c r="D202" s="96" t="s">
        <v>99</v>
      </c>
      <c r="E202" s="68"/>
    </row>
    <row r="203" spans="2:5" ht="27.95">
      <c r="B203" s="105" t="s">
        <v>142</v>
      </c>
      <c r="C203" s="103">
        <f>13+6</f>
        <v>19</v>
      </c>
      <c r="D203" s="96" t="s">
        <v>99</v>
      </c>
      <c r="E203" s="68"/>
    </row>
    <row r="204" spans="2:5" ht="27.95">
      <c r="B204" s="105" t="s">
        <v>143</v>
      </c>
      <c r="C204" s="103">
        <f>3+4</f>
        <v>7</v>
      </c>
      <c r="D204" s="96" t="s">
        <v>99</v>
      </c>
      <c r="E204" s="68"/>
    </row>
    <row r="205" spans="2:5" ht="27.95">
      <c r="B205" s="105" t="s">
        <v>138</v>
      </c>
      <c r="C205" s="103">
        <v>1</v>
      </c>
      <c r="D205" s="96" t="s">
        <v>99</v>
      </c>
      <c r="E205" s="68"/>
    </row>
    <row r="206" spans="2:5" ht="27.95">
      <c r="B206" s="105" t="s">
        <v>144</v>
      </c>
      <c r="C206" s="103"/>
      <c r="D206" s="96"/>
      <c r="E206" s="101"/>
    </row>
    <row r="207" spans="2:5">
      <c r="B207" s="90" t="s">
        <v>145</v>
      </c>
      <c r="C207" s="95">
        <f>+C186</f>
        <v>6</v>
      </c>
      <c r="D207" s="96" t="s">
        <v>99</v>
      </c>
      <c r="E207" s="68"/>
    </row>
    <row r="208" spans="2:5">
      <c r="B208" s="90" t="s">
        <v>146</v>
      </c>
      <c r="C208" s="95">
        <f>+C187</f>
        <v>4</v>
      </c>
      <c r="D208" s="96" t="s">
        <v>99</v>
      </c>
      <c r="E208" s="68"/>
    </row>
    <row r="209" spans="2:5">
      <c r="B209" s="90" t="s">
        <v>147</v>
      </c>
      <c r="C209" s="95">
        <f>+C188</f>
        <v>4</v>
      </c>
      <c r="D209" s="96" t="s">
        <v>99</v>
      </c>
      <c r="E209" s="68"/>
    </row>
    <row r="210" spans="2:5">
      <c r="B210" s="90" t="s">
        <v>148</v>
      </c>
      <c r="C210" s="95">
        <f>+C189</f>
        <v>20</v>
      </c>
      <c r="D210" s="96" t="s">
        <v>99</v>
      </c>
      <c r="E210" s="68"/>
    </row>
    <row r="211" spans="2:5">
      <c r="B211" s="189" t="s">
        <v>149</v>
      </c>
      <c r="C211" s="189"/>
      <c r="D211" s="189"/>
      <c r="E211" s="190"/>
    </row>
    <row r="212" spans="2:5">
      <c r="B212" s="191" t="s">
        <v>131</v>
      </c>
      <c r="C212" s="191"/>
      <c r="D212" s="191"/>
      <c r="E212" s="191"/>
    </row>
    <row r="213" spans="2:5">
      <c r="B213" s="89" t="s">
        <v>150</v>
      </c>
      <c r="C213" s="94"/>
      <c r="D213" s="100"/>
      <c r="E213" s="101"/>
    </row>
    <row r="214" spans="2:5">
      <c r="B214" s="93" t="s">
        <v>151</v>
      </c>
      <c r="C214" s="94"/>
      <c r="D214" s="100"/>
      <c r="E214" s="101"/>
    </row>
    <row r="215" spans="2:5">
      <c r="B215" s="90" t="s">
        <v>152</v>
      </c>
      <c r="C215" s="95">
        <v>39</v>
      </c>
      <c r="D215" s="96" t="s">
        <v>99</v>
      </c>
      <c r="E215" s="68"/>
    </row>
    <row r="216" spans="2:5">
      <c r="B216" s="90" t="s">
        <v>153</v>
      </c>
      <c r="C216" s="95">
        <v>3</v>
      </c>
      <c r="D216" s="96" t="s">
        <v>99</v>
      </c>
      <c r="E216" s="68"/>
    </row>
    <row r="217" spans="2:5">
      <c r="B217" s="90" t="s">
        <v>154</v>
      </c>
      <c r="C217" s="95">
        <v>11</v>
      </c>
      <c r="D217" s="96" t="s">
        <v>99</v>
      </c>
      <c r="E217" s="68"/>
    </row>
    <row r="218" spans="2:5">
      <c r="B218" s="90" t="s">
        <v>155</v>
      </c>
      <c r="C218" s="66">
        <v>7</v>
      </c>
      <c r="D218" s="67" t="s">
        <v>99</v>
      </c>
      <c r="E218" s="68"/>
    </row>
    <row r="219" spans="2:5">
      <c r="B219" s="90" t="s">
        <v>156</v>
      </c>
      <c r="C219" s="66">
        <v>28</v>
      </c>
      <c r="D219" s="67" t="s">
        <v>99</v>
      </c>
      <c r="E219" s="68"/>
    </row>
    <row r="220" spans="2:5">
      <c r="B220" s="90" t="s">
        <v>157</v>
      </c>
      <c r="C220" s="66">
        <v>5</v>
      </c>
      <c r="D220" s="67" t="s">
        <v>99</v>
      </c>
      <c r="E220" s="68"/>
    </row>
    <row r="221" spans="2:5" ht="27.95">
      <c r="B221" s="93" t="s">
        <v>158</v>
      </c>
      <c r="C221" s="94"/>
      <c r="D221" s="100"/>
      <c r="E221" s="101"/>
    </row>
    <row r="222" spans="2:5">
      <c r="B222" s="90" t="s">
        <v>159</v>
      </c>
      <c r="C222" s="95">
        <f>+C215</f>
        <v>39</v>
      </c>
      <c r="D222" s="96" t="s">
        <v>99</v>
      </c>
      <c r="E222" s="68"/>
    </row>
    <row r="223" spans="2:5">
      <c r="B223" s="90" t="s">
        <v>160</v>
      </c>
      <c r="C223" s="95">
        <f>+C216</f>
        <v>3</v>
      </c>
      <c r="D223" s="96" t="s">
        <v>99</v>
      </c>
      <c r="E223" s="68"/>
    </row>
    <row r="224" spans="2:5">
      <c r="B224" s="90" t="s">
        <v>161</v>
      </c>
      <c r="C224" s="95">
        <f>+C217</f>
        <v>11</v>
      </c>
      <c r="D224" s="96" t="s">
        <v>99</v>
      </c>
      <c r="E224" s="68"/>
    </row>
    <row r="225" spans="1:5">
      <c r="B225" s="90" t="s">
        <v>162</v>
      </c>
      <c r="C225" s="66">
        <f>+C218</f>
        <v>7</v>
      </c>
      <c r="D225" s="67" t="s">
        <v>99</v>
      </c>
      <c r="E225" s="68"/>
    </row>
    <row r="226" spans="1:5">
      <c r="B226" s="90" t="s">
        <v>163</v>
      </c>
      <c r="C226" s="66">
        <v>28</v>
      </c>
      <c r="D226" s="67" t="s">
        <v>99</v>
      </c>
      <c r="E226" s="68"/>
    </row>
    <row r="227" spans="1:5">
      <c r="B227" s="90" t="s">
        <v>164</v>
      </c>
      <c r="C227" s="66">
        <v>5</v>
      </c>
      <c r="D227" s="67" t="s">
        <v>99</v>
      </c>
      <c r="E227" s="68"/>
    </row>
    <row r="228" spans="1:5">
      <c r="B228" s="89" t="s">
        <v>165</v>
      </c>
      <c r="C228" s="94"/>
      <c r="D228" s="100"/>
      <c r="E228" s="101"/>
    </row>
    <row r="229" spans="1:5" ht="27.95">
      <c r="B229" s="93" t="s">
        <v>166</v>
      </c>
      <c r="C229" s="94"/>
      <c r="D229" s="96" t="s">
        <v>48</v>
      </c>
      <c r="E229" s="68"/>
    </row>
    <row r="230" spans="1:5">
      <c r="B230" s="93" t="s">
        <v>167</v>
      </c>
      <c r="C230" s="94"/>
      <c r="D230" s="100"/>
      <c r="E230" s="101"/>
    </row>
    <row r="231" spans="1:5">
      <c r="B231" s="90" t="s">
        <v>168</v>
      </c>
      <c r="C231" s="95">
        <v>1</v>
      </c>
      <c r="D231" s="96" t="s">
        <v>48</v>
      </c>
      <c r="E231" s="68"/>
    </row>
    <row r="232" spans="1:5">
      <c r="B232" s="90" t="s">
        <v>169</v>
      </c>
      <c r="C232" s="95">
        <v>1</v>
      </c>
      <c r="D232" s="96" t="s">
        <v>48</v>
      </c>
      <c r="E232" s="68"/>
    </row>
    <row r="233" spans="1:5">
      <c r="A233" s="108" t="s">
        <v>170</v>
      </c>
      <c r="C233" s="109"/>
      <c r="D233" s="110"/>
    </row>
    <row r="234" spans="1:5">
      <c r="A234" s="111" t="s">
        <v>171</v>
      </c>
      <c r="C234" s="112"/>
      <c r="D234" s="113"/>
    </row>
    <row r="235" spans="1:5" ht="27.95">
      <c r="B235" s="114" t="s">
        <v>172</v>
      </c>
      <c r="C235" s="115">
        <v>1</v>
      </c>
      <c r="D235" s="116" t="s">
        <v>48</v>
      </c>
    </row>
    <row r="236" spans="1:5">
      <c r="B236" s="117" t="s">
        <v>173</v>
      </c>
      <c r="C236" s="115">
        <v>17</v>
      </c>
      <c r="D236" s="116" t="s">
        <v>99</v>
      </c>
    </row>
    <row r="237" spans="1:5" ht="27.95">
      <c r="B237" s="114" t="s">
        <v>174</v>
      </c>
      <c r="C237" s="115">
        <v>1</v>
      </c>
      <c r="D237" s="116" t="s">
        <v>48</v>
      </c>
    </row>
  </sheetData>
  <mergeCells count="8">
    <mergeCell ref="B211:E211"/>
    <mergeCell ref="B212:E212"/>
    <mergeCell ref="B115:E115"/>
    <mergeCell ref="B116:E116"/>
    <mergeCell ref="B135:E135"/>
    <mergeCell ref="B136:E136"/>
    <mergeCell ref="B190:E190"/>
    <mergeCell ref="B191:E191"/>
  </mergeCells>
  <hyperlinks>
    <hyperlink ref="J4" r:id="rId1" location="v=onepage&amp;q&amp;f=false" display="https://books.google.com.qa/books?id=Fn3SwUueZaAC&amp;pg=PA209&amp;lpg=PA209&amp;dq=shade+steel+structure+for+fish+farm&amp;source=bl&amp;ots=LGWRNy-A_k&amp;sig=ACfU3U1_c1AnyjzOeJypjOvBQpq3GcuBWQ&amp;hl=en&amp;sa=X&amp;ved=2ahUKEwizz5zxk4fpAhUaWX0KHR69CqYQ6AEwCnoECAoQAQ - v=onepage&amp;q&amp;f=false" xr:uid="{4987F081-33DB-4927-8737-E3B508553646}"/>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E52E7-C39E-4185-84B6-F7B2B39D042A}">
  <dimension ref="A1:H27"/>
  <sheetViews>
    <sheetView zoomScale="80" zoomScaleNormal="70" workbookViewId="0"/>
  </sheetViews>
  <sheetFormatPr defaultRowHeight="14.45"/>
  <cols>
    <col min="1" max="1" width="35.85546875" style="2" bestFit="1" customWidth="1"/>
    <col min="2" max="2" width="41.7109375" bestFit="1" customWidth="1"/>
    <col min="3" max="3" width="18" bestFit="1" customWidth="1"/>
    <col min="4" max="4" width="21.5703125" bestFit="1" customWidth="1"/>
    <col min="5" max="5" width="14.42578125" bestFit="1" customWidth="1"/>
    <col min="6" max="6" width="15.5703125" bestFit="1" customWidth="1"/>
    <col min="7" max="7" width="20.42578125" bestFit="1" customWidth="1"/>
    <col min="8" max="8" width="142.85546875" bestFit="1" customWidth="1"/>
  </cols>
  <sheetData>
    <row r="1" spans="1:8">
      <c r="A1" s="125" t="s">
        <v>0</v>
      </c>
      <c r="B1" s="118" t="s">
        <v>1</v>
      </c>
      <c r="C1" s="118" t="s">
        <v>2</v>
      </c>
      <c r="D1" s="118" t="s">
        <v>3</v>
      </c>
      <c r="E1" s="118" t="s">
        <v>4</v>
      </c>
      <c r="F1" s="118" t="s">
        <v>5</v>
      </c>
      <c r="G1" s="118" t="s">
        <v>6</v>
      </c>
      <c r="H1" s="118" t="s">
        <v>9</v>
      </c>
    </row>
    <row r="2" spans="1:8">
      <c r="A2" s="23" t="s">
        <v>175</v>
      </c>
      <c r="B2" s="119"/>
      <c r="D2" s="119"/>
      <c r="E2" s="119"/>
      <c r="F2" s="120"/>
      <c r="G2" s="121"/>
      <c r="H2" s="119"/>
    </row>
    <row r="3" spans="1:8">
      <c r="A3" s="127"/>
      <c r="B3" s="136" t="s">
        <v>176</v>
      </c>
      <c r="C3" s="143">
        <v>5000</v>
      </c>
      <c r="D3" s="122">
        <v>1</v>
      </c>
      <c r="E3" s="122">
        <v>10</v>
      </c>
      <c r="F3" s="123">
        <f>Table467[[#This Row],[Quantity]]*Table467[[#This Row],[Cost per unit ]]</f>
        <v>50000</v>
      </c>
      <c r="G3" s="124">
        <f>Table467[[#This Row],[unit per duration ]]</f>
        <v>1</v>
      </c>
      <c r="H3" s="122" t="s">
        <v>177</v>
      </c>
    </row>
    <row r="4" spans="1:8">
      <c r="A4" s="127"/>
      <c r="B4" s="137" t="s">
        <v>178</v>
      </c>
      <c r="C4" s="170">
        <v>65</v>
      </c>
      <c r="D4" s="119">
        <v>10</v>
      </c>
      <c r="E4" s="171">
        <f>E3*10000/350</f>
        <v>285.71428571428572</v>
      </c>
      <c r="F4" s="7">
        <f>Table467[[#This Row],[Quantity]]*Table467[[#This Row],[Cost per unit ]]</f>
        <v>18571.428571428572</v>
      </c>
      <c r="G4" s="1">
        <f>Table467[[#This Row],[unit per duration ]]</f>
        <v>10</v>
      </c>
      <c r="H4" s="119" t="s">
        <v>179</v>
      </c>
    </row>
    <row r="5" spans="1:8">
      <c r="A5" s="127"/>
      <c r="B5" s="2" t="s">
        <v>180</v>
      </c>
      <c r="C5" s="170">
        <v>452</v>
      </c>
      <c r="D5" s="122">
        <v>10</v>
      </c>
      <c r="E5" s="155">
        <f>E4</f>
        <v>285.71428571428572</v>
      </c>
      <c r="F5" s="123">
        <f>Table467[[#This Row],[Quantity]]*Table467[[#This Row],[Cost per unit ]]</f>
        <v>129142.85714285714</v>
      </c>
      <c r="G5" s="124">
        <f>Table467[[#This Row],[unit per duration ]]</f>
        <v>10</v>
      </c>
      <c r="H5" s="122" t="s">
        <v>181</v>
      </c>
    </row>
    <row r="6" spans="1:8">
      <c r="A6" s="127"/>
      <c r="B6" s="2" t="s">
        <v>182</v>
      </c>
      <c r="C6" s="143">
        <v>3000</v>
      </c>
      <c r="D6" s="119">
        <v>1</v>
      </c>
      <c r="E6" s="119">
        <f>E3+10000/2000</f>
        <v>15</v>
      </c>
      <c r="F6" s="7">
        <f>Table467[[#This Row],[Quantity]]*Table467[[#This Row],[Cost per unit ]]</f>
        <v>45000</v>
      </c>
      <c r="G6" s="1">
        <f>Table467[[#This Row],[unit per duration ]]</f>
        <v>1</v>
      </c>
      <c r="H6" s="119" t="s">
        <v>183</v>
      </c>
    </row>
    <row r="7" spans="1:8">
      <c r="A7" s="182"/>
      <c r="B7" s="20"/>
      <c r="D7" s="20"/>
      <c r="E7" s="22"/>
      <c r="F7" s="123"/>
      <c r="G7" s="124"/>
      <c r="H7" s="122"/>
    </row>
    <row r="8" spans="1:8">
      <c r="A8" s="126" t="s">
        <v>184</v>
      </c>
      <c r="E8" s="66"/>
      <c r="F8" s="123"/>
      <c r="G8" s="124"/>
      <c r="H8" s="122"/>
    </row>
    <row r="9" spans="1:8">
      <c r="A9" s="127"/>
      <c r="E9" s="66"/>
      <c r="F9" s="123"/>
      <c r="G9" s="124"/>
      <c r="H9" s="122"/>
    </row>
    <row r="12" spans="1:8">
      <c r="A12" s="2" t="s">
        <v>185</v>
      </c>
      <c r="B12" s="2"/>
    </row>
    <row r="13" spans="1:8">
      <c r="B13" s="2" t="s">
        <v>186</v>
      </c>
      <c r="C13" s="186">
        <v>6820.22</v>
      </c>
      <c r="D13">
        <v>40</v>
      </c>
      <c r="E13">
        <v>40</v>
      </c>
      <c r="F13">
        <f>E13*C13</f>
        <v>272808.8</v>
      </c>
      <c r="G13">
        <v>1</v>
      </c>
      <c r="H13" s="11" t="s">
        <v>187</v>
      </c>
    </row>
    <row r="14" spans="1:8">
      <c r="A14" s="2" t="s">
        <v>188</v>
      </c>
    </row>
    <row r="15" spans="1:8">
      <c r="B15" s="2" t="s">
        <v>189</v>
      </c>
      <c r="C15">
        <v>1000</v>
      </c>
      <c r="D15">
        <v>40</v>
      </c>
      <c r="E15">
        <v>40</v>
      </c>
      <c r="F15">
        <f>E15*C15</f>
        <v>40000</v>
      </c>
      <c r="G15">
        <v>1</v>
      </c>
      <c r="H15" t="s">
        <v>190</v>
      </c>
    </row>
    <row r="16" spans="1:8">
      <c r="B16" s="2" t="s">
        <v>191</v>
      </c>
      <c r="C16" t="s">
        <v>18</v>
      </c>
      <c r="D16">
        <v>40</v>
      </c>
      <c r="E16">
        <v>40</v>
      </c>
      <c r="F16" t="s">
        <v>18</v>
      </c>
      <c r="G16">
        <v>1</v>
      </c>
    </row>
    <row r="17" spans="1:8">
      <c r="A17" s="2" t="s">
        <v>192</v>
      </c>
    </row>
    <row r="18" spans="1:8">
      <c r="B18" s="2" t="s">
        <v>193</v>
      </c>
      <c r="C18">
        <v>550</v>
      </c>
      <c r="D18">
        <v>40</v>
      </c>
      <c r="E18">
        <v>40</v>
      </c>
      <c r="F18" s="184">
        <f>C18*D18</f>
        <v>22000</v>
      </c>
      <c r="G18">
        <v>1</v>
      </c>
    </row>
    <row r="19" spans="1:8">
      <c r="A19" s="2" t="s">
        <v>194</v>
      </c>
    </row>
    <row r="20" spans="1:8">
      <c r="B20" s="2" t="s">
        <v>195</v>
      </c>
      <c r="C20" s="185">
        <v>1800</v>
      </c>
      <c r="D20">
        <v>40</v>
      </c>
      <c r="E20">
        <v>40</v>
      </c>
      <c r="F20" s="185">
        <f>C20*D20</f>
        <v>72000</v>
      </c>
      <c r="G20">
        <v>1</v>
      </c>
      <c r="H20" s="11" t="s">
        <v>196</v>
      </c>
    </row>
    <row r="21" spans="1:8">
      <c r="B21" s="2" t="s">
        <v>197</v>
      </c>
      <c r="C21" s="184">
        <v>2000</v>
      </c>
      <c r="D21">
        <v>40</v>
      </c>
      <c r="E21">
        <v>40</v>
      </c>
      <c r="F21" s="184">
        <f>C21*D21</f>
        <v>80000</v>
      </c>
      <c r="G21">
        <v>1</v>
      </c>
      <c r="H21" s="11" t="s">
        <v>198</v>
      </c>
    </row>
    <row r="22" spans="1:8">
      <c r="B22" s="2" t="s">
        <v>199</v>
      </c>
      <c r="C22" s="185">
        <v>3400</v>
      </c>
      <c r="D22">
        <v>40</v>
      </c>
      <c r="E22">
        <v>40</v>
      </c>
      <c r="F22" s="184">
        <f>C22*D22</f>
        <v>136000</v>
      </c>
      <c r="G22">
        <v>1</v>
      </c>
      <c r="H22" s="11" t="s">
        <v>200</v>
      </c>
    </row>
    <row r="23" spans="1:8">
      <c r="B23" s="2" t="s">
        <v>201</v>
      </c>
      <c r="C23" s="185">
        <v>1000</v>
      </c>
      <c r="D23">
        <v>40</v>
      </c>
      <c r="E23">
        <v>40</v>
      </c>
      <c r="F23" s="184">
        <f>C23*D23</f>
        <v>40000</v>
      </c>
      <c r="G23">
        <v>1</v>
      </c>
      <c r="H23" s="11" t="s">
        <v>202</v>
      </c>
    </row>
    <row r="24" spans="1:8">
      <c r="B24" s="2" t="s">
        <v>203</v>
      </c>
      <c r="C24" s="185">
        <v>2500</v>
      </c>
      <c r="D24">
        <v>40</v>
      </c>
      <c r="E24">
        <v>40</v>
      </c>
      <c r="F24" s="184">
        <f>C24*D24</f>
        <v>100000</v>
      </c>
      <c r="G24">
        <v>1</v>
      </c>
      <c r="H24" s="11" t="s">
        <v>204</v>
      </c>
    </row>
    <row r="25" spans="1:8">
      <c r="B25" s="2" t="s">
        <v>205</v>
      </c>
      <c r="C25" s="185">
        <v>6932</v>
      </c>
      <c r="D25">
        <v>40</v>
      </c>
      <c r="E25">
        <v>40</v>
      </c>
      <c r="F25" s="184">
        <f>C25*D25</f>
        <v>277280</v>
      </c>
      <c r="G25">
        <v>1</v>
      </c>
      <c r="H25" s="11" t="s">
        <v>206</v>
      </c>
    </row>
    <row r="26" spans="1:8">
      <c r="B26" s="2" t="s">
        <v>207</v>
      </c>
      <c r="C26">
        <v>450</v>
      </c>
      <c r="D26">
        <v>40</v>
      </c>
      <c r="E26">
        <v>40</v>
      </c>
      <c r="F26" s="184">
        <f>C26*D26</f>
        <v>18000</v>
      </c>
      <c r="G26">
        <v>1</v>
      </c>
      <c r="H26" s="11" t="s">
        <v>208</v>
      </c>
    </row>
    <row r="27" spans="1:8">
      <c r="F27" s="184"/>
    </row>
  </sheetData>
  <hyperlinks>
    <hyperlink ref="H13" r:id="rId1" location="/5-choose_one-eu_863_870_mhz" display="https://www.the-iot-marketplace.com/libelium-thing-lorawan-smart-fish-farming-solution-kit - /5-choose_one-eu_863_870_mhz" xr:uid="{B78D3446-91D7-4B52-8AE7-293CDF034B1E}"/>
    <hyperlink ref="H20" r:id="rId2" xr:uid="{44DE9233-C94D-4FAD-A0B2-02FE4648327D}"/>
    <hyperlink ref="H22" r:id="rId3" xr:uid="{6B50D12F-919B-4E01-B149-3F402CA08F33}"/>
    <hyperlink ref="H23" r:id="rId4" xr:uid="{813BDE56-28DC-417A-8556-068F9A803A3D}"/>
    <hyperlink ref="H21" r:id="rId5" xr:uid="{7A6A66AE-BEC4-4063-8DC7-10944DA68D59}"/>
    <hyperlink ref="H24" r:id="rId6" xr:uid="{7D9B4A1A-71DB-48DB-93EA-AA8A230F035A}"/>
    <hyperlink ref="H25" r:id="rId7" xr:uid="{2FE8D917-A631-49E1-A29D-E30E51370476}"/>
    <hyperlink ref="H26" r:id="rId8" xr:uid="{02C5DAE2-22CE-4627-B31C-24B6FD0CC574}"/>
  </hyperlinks>
  <pageMargins left="0.7" right="0.7" top="0.75" bottom="0.75" header="0.3" footer="0.3"/>
  <pageSetup orientation="portrait" r:id="rId9"/>
  <tableParts count="1">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66DD7-1467-43C2-92B0-033D436F15F2}">
  <dimension ref="A1:J60"/>
  <sheetViews>
    <sheetView zoomScale="62" zoomScaleNormal="145" workbookViewId="0">
      <selection activeCell="A29" sqref="A29"/>
    </sheetView>
  </sheetViews>
  <sheetFormatPr defaultRowHeight="14.45"/>
  <cols>
    <col min="1" max="1" width="45.7109375" style="2" bestFit="1" customWidth="1"/>
    <col min="2" max="2" width="34.42578125" customWidth="1"/>
    <col min="3" max="3" width="18.28515625" bestFit="1" customWidth="1"/>
    <col min="4" max="4" width="23.42578125" bestFit="1" customWidth="1"/>
    <col min="5" max="6" width="10.140625" customWidth="1"/>
    <col min="7" max="7" width="14.42578125" bestFit="1" customWidth="1"/>
    <col min="8" max="8" width="16.42578125" customWidth="1"/>
    <col min="9" max="9" width="38.140625" bestFit="1" customWidth="1"/>
    <col min="10" max="10" width="158.42578125" bestFit="1" customWidth="1"/>
  </cols>
  <sheetData>
    <row r="1" spans="1:10">
      <c r="A1" s="125" t="s">
        <v>0</v>
      </c>
      <c r="B1" s="118" t="s">
        <v>1</v>
      </c>
      <c r="C1" s="118" t="s">
        <v>2</v>
      </c>
      <c r="D1" s="118" t="s">
        <v>3</v>
      </c>
      <c r="E1" s="118" t="s">
        <v>4</v>
      </c>
      <c r="F1" s="118" t="s">
        <v>209</v>
      </c>
      <c r="G1" s="118" t="s">
        <v>5</v>
      </c>
      <c r="H1" s="118" t="s">
        <v>6</v>
      </c>
      <c r="I1" s="118" t="s">
        <v>210</v>
      </c>
      <c r="J1" s="118" t="s">
        <v>9</v>
      </c>
    </row>
    <row r="2" spans="1:10">
      <c r="A2" s="23" t="s">
        <v>211</v>
      </c>
      <c r="B2" s="130"/>
      <c r="D2" s="130"/>
      <c r="E2" s="130"/>
      <c r="F2" s="130"/>
      <c r="G2" s="131"/>
      <c r="H2" s="1"/>
      <c r="I2" s="130"/>
      <c r="J2" s="130"/>
    </row>
    <row r="3" spans="1:10">
      <c r="B3" s="20" t="s">
        <v>212</v>
      </c>
      <c r="C3" s="150">
        <f>(52476.8/3722)/3.65</f>
        <v>3.8627634281171561</v>
      </c>
      <c r="D3" s="1">
        <v>10</v>
      </c>
      <c r="E3" s="1">
        <f>E39*2.2</f>
        <v>448.8</v>
      </c>
      <c r="F3" s="151" t="s">
        <v>70</v>
      </c>
      <c r="G3" s="7">
        <f>Table4673[[#This Row],[Cost per unit ]]*Table4673[[#This Row],[Quantity]]</f>
        <v>1733.6082265389798</v>
      </c>
      <c r="H3" s="8">
        <f>Table4673[[#This Row],[Quantity]]/Table4673[[#This Row],[unit per duration ]]</f>
        <v>44.88</v>
      </c>
      <c r="I3" s="1" t="s">
        <v>213</v>
      </c>
      <c r="J3" s="1"/>
    </row>
    <row r="4" spans="1:10">
      <c r="A4" s="132"/>
      <c r="B4" s="133" t="s">
        <v>214</v>
      </c>
      <c r="C4" s="149">
        <f>27.54/3.65</f>
        <v>7.5452054794520551</v>
      </c>
      <c r="D4" s="130">
        <v>43</v>
      </c>
      <c r="E4" s="1">
        <f>E40*2.2</f>
        <v>673.2</v>
      </c>
      <c r="F4" s="151" t="s">
        <v>215</v>
      </c>
      <c r="G4" s="131">
        <f>Table4673[[#This Row],[Cost per unit ]]*Table4673[[#This Row],[Quantity]]</f>
        <v>5079.4323287671241</v>
      </c>
      <c r="H4" s="8">
        <f>Table4673[[#This Row],[Quantity]]/Table4673[[#This Row],[unit per duration ]]</f>
        <v>15.655813953488373</v>
      </c>
      <c r="I4" s="130" t="s">
        <v>216</v>
      </c>
      <c r="J4" s="130"/>
    </row>
    <row r="5" spans="1:10">
      <c r="B5" s="21" t="s">
        <v>217</v>
      </c>
      <c r="C5" s="149">
        <f>41.51/3.65</f>
        <v>11.372602739726027</v>
      </c>
      <c r="D5" s="1">
        <v>43</v>
      </c>
      <c r="E5" s="1">
        <f>E41*2.2</f>
        <v>134.64000000000001</v>
      </c>
      <c r="F5" s="151" t="s">
        <v>215</v>
      </c>
      <c r="G5" s="7">
        <f>Table4673[[#This Row],[Cost per unit ]]*Table4673[[#This Row],[Quantity]]</f>
        <v>1531.2072328767124</v>
      </c>
      <c r="H5" s="8">
        <f>Table4673[[#This Row],[Quantity]]/Table4673[[#This Row],[unit per duration ]]</f>
        <v>3.1311627906976747</v>
      </c>
      <c r="I5" s="1"/>
      <c r="J5" s="1"/>
    </row>
    <row r="6" spans="1:10">
      <c r="A6" s="132"/>
      <c r="B6" s="134" t="s">
        <v>218</v>
      </c>
      <c r="C6" s="149">
        <f>27.54/3.65</f>
        <v>7.5452054794520551</v>
      </c>
      <c r="D6" s="130">
        <v>43</v>
      </c>
      <c r="E6" s="1">
        <f>E42*2.2</f>
        <v>673.2</v>
      </c>
      <c r="F6" s="151" t="s">
        <v>215</v>
      </c>
      <c r="G6" s="131">
        <f>Table4673[[#This Row],[Quantity]]*Table4673[[#This Row],[Cost per unit ]]</f>
        <v>5079.4323287671241</v>
      </c>
      <c r="H6" s="8">
        <f>Table4673[[#This Row],[Quantity]]/Table4673[[#This Row],[unit per duration ]]</f>
        <v>15.655813953488373</v>
      </c>
      <c r="I6" s="130"/>
      <c r="J6" s="130"/>
    </row>
    <row r="7" spans="1:10">
      <c r="B7" s="20" t="s">
        <v>219</v>
      </c>
      <c r="C7" s="148">
        <f>2.49/3.65</f>
        <v>0.68219178082191789</v>
      </c>
      <c r="D7" s="1">
        <v>20</v>
      </c>
      <c r="E7" s="1">
        <f>E43*2.2</f>
        <v>448.8</v>
      </c>
      <c r="F7" s="151" t="s">
        <v>70</v>
      </c>
      <c r="G7" s="7">
        <f>Table4673[[#This Row],[Cost per unit ]]*Table4673[[#This Row],[Quantity]]</f>
        <v>306.16767123287678</v>
      </c>
      <c r="H7" s="8">
        <f>Table4673[[#This Row],[Quantity]]/Table4673[[#This Row],[unit per duration ]]</f>
        <v>22.44</v>
      </c>
      <c r="I7" s="130" t="s">
        <v>216</v>
      </c>
      <c r="J7" s="1"/>
    </row>
    <row r="8" spans="1:10" hidden="1">
      <c r="B8" s="151" t="s">
        <v>220</v>
      </c>
      <c r="E8" s="1">
        <f>E44*2.2</f>
        <v>374.00000000000006</v>
      </c>
      <c r="F8" s="151" t="s">
        <v>70</v>
      </c>
      <c r="G8" s="7"/>
      <c r="H8" s="8" t="e">
        <f>Table4673[[#This Row],[Quantity]]/Table4673[[#This Row],[unit per duration ]]</f>
        <v>#DIV/0!</v>
      </c>
      <c r="I8" s="1"/>
      <c r="J8" s="1"/>
    </row>
    <row r="9" spans="1:10" hidden="1">
      <c r="B9" s="151" t="s">
        <v>221</v>
      </c>
      <c r="E9" s="1">
        <f>E45*2.2</f>
        <v>103.4</v>
      </c>
      <c r="F9" s="151" t="s">
        <v>215</v>
      </c>
      <c r="G9" s="7"/>
      <c r="H9" s="8" t="e">
        <f>Table4673[[#This Row],[Quantity]]/Table4673[[#This Row],[unit per duration ]]</f>
        <v>#DIV/0!</v>
      </c>
      <c r="I9" s="1"/>
      <c r="J9" s="1"/>
    </row>
    <row r="10" spans="1:10" hidden="1">
      <c r="B10" s="151" t="s">
        <v>222</v>
      </c>
      <c r="E10" s="1">
        <f>E46*2.2</f>
        <v>15.400000000000002</v>
      </c>
      <c r="F10" s="151" t="s">
        <v>215</v>
      </c>
      <c r="G10" s="7"/>
      <c r="H10" s="8" t="e">
        <f>Table4673[[#This Row],[Quantity]]/Table4673[[#This Row],[unit per duration ]]</f>
        <v>#DIV/0!</v>
      </c>
      <c r="I10" s="1"/>
      <c r="J10" s="1"/>
    </row>
    <row r="11" spans="1:10" hidden="1">
      <c r="B11" s="151" t="s">
        <v>223</v>
      </c>
      <c r="E11" s="1">
        <f>E47*2.2</f>
        <v>48.400000000000006</v>
      </c>
      <c r="F11" s="151" t="s">
        <v>215</v>
      </c>
      <c r="G11" s="7"/>
      <c r="H11" s="8" t="e">
        <f>Table4673[[#This Row],[Quantity]]/Table4673[[#This Row],[unit per duration ]]</f>
        <v>#DIV/0!</v>
      </c>
      <c r="I11" s="1"/>
      <c r="J11" s="1"/>
    </row>
    <row r="12" spans="1:10" hidden="1">
      <c r="B12" s="151" t="s">
        <v>224</v>
      </c>
      <c r="D12" s="146">
        <v>0.15</v>
      </c>
      <c r="E12" s="1">
        <f>E48*2.2</f>
        <v>110.00000000000001</v>
      </c>
      <c r="F12" s="151" t="s">
        <v>215</v>
      </c>
      <c r="G12" s="7"/>
      <c r="H12" s="8">
        <f>Table4673[[#This Row],[Quantity]]/Table4673[[#This Row],[unit per duration ]]</f>
        <v>733.33333333333348</v>
      </c>
      <c r="I12" s="1"/>
      <c r="J12" s="1"/>
    </row>
    <row r="13" spans="1:10">
      <c r="B13" s="20" t="s">
        <v>225</v>
      </c>
      <c r="C13">
        <f>300*1.2</f>
        <v>360</v>
      </c>
      <c r="D13">
        <v>22</v>
      </c>
      <c r="E13" s="1">
        <f>E49*2.2</f>
        <v>92.4</v>
      </c>
      <c r="F13" s="20" t="s">
        <v>215</v>
      </c>
      <c r="G13" s="7">
        <f>Table4673[[#This Row],[Quantity]]*Table4673[[#This Row],[Cost per unit ]]</f>
        <v>33264</v>
      </c>
      <c r="H13" s="8">
        <f>Table4673[[#This Row],[Quantity]]/Table4673[[#This Row],[unit per duration ]]</f>
        <v>4.2</v>
      </c>
      <c r="I13" s="1"/>
      <c r="J13" s="1" t="s">
        <v>226</v>
      </c>
    </row>
    <row r="14" spans="1:10">
      <c r="B14" s="20" t="s">
        <v>227</v>
      </c>
      <c r="C14">
        <f>0.35*1.2</f>
        <v>0.42</v>
      </c>
      <c r="D14">
        <v>220</v>
      </c>
      <c r="E14" s="1">
        <f>E50*2.2</f>
        <v>25740.000000000004</v>
      </c>
      <c r="F14" s="20" t="s">
        <v>228</v>
      </c>
      <c r="G14" s="7">
        <f>Table4673[[#This Row],[Cost per unit ]]*Table4673[[#This Row],[Quantity]]</f>
        <v>10810.800000000001</v>
      </c>
      <c r="H14" s="8">
        <f>Table4673[[#This Row],[Quantity]]/Table4673[[#This Row],[unit per duration ]]</f>
        <v>117.00000000000001</v>
      </c>
      <c r="I14" s="1" t="s">
        <v>229</v>
      </c>
      <c r="J14" s="1" t="s">
        <v>230</v>
      </c>
    </row>
    <row r="15" spans="1:10">
      <c r="A15" s="127"/>
      <c r="B15" s="20" t="s">
        <v>231</v>
      </c>
      <c r="C15" s="149">
        <f>3860/3.65</f>
        <v>1057.5342465753424</v>
      </c>
      <c r="D15">
        <v>22</v>
      </c>
      <c r="E15" s="1">
        <f>E51*2.2</f>
        <v>448.8</v>
      </c>
      <c r="F15" s="151" t="s">
        <v>70</v>
      </c>
      <c r="G15" s="123">
        <f>Table4673[[#This Row],[Cost per unit ]]*Table4673[[#This Row],[Quantity]]</f>
        <v>474621.36986301368</v>
      </c>
      <c r="H15" s="8">
        <f>Table4673[[#This Row],[Quantity]]/Table4673[[#This Row],[unit per duration ]]</f>
        <v>20.400000000000002</v>
      </c>
      <c r="I15" s="1" t="s">
        <v>229</v>
      </c>
      <c r="J15" s="122"/>
    </row>
    <row r="16" spans="1:10">
      <c r="B16" s="21" t="s">
        <v>232</v>
      </c>
      <c r="C16" s="148">
        <f>650/3.65</f>
        <v>178.08219178082192</v>
      </c>
      <c r="D16">
        <v>22</v>
      </c>
      <c r="E16" s="1">
        <f>E52*2.2</f>
        <v>143</v>
      </c>
      <c r="F16" s="20" t="s">
        <v>215</v>
      </c>
      <c r="G16" s="7">
        <f>Table4673[[#This Row],[Cost per unit ]]*Table4673[[#This Row],[Quantity]]</f>
        <v>25465.753424657534</v>
      </c>
      <c r="H16" s="8">
        <f>Table4673[[#This Row],[Quantity]]/Table4673[[#This Row],[unit per duration ]]</f>
        <v>6.5</v>
      </c>
      <c r="I16" s="1" t="s">
        <v>229</v>
      </c>
      <c r="J16" s="1"/>
    </row>
    <row r="17" spans="1:10">
      <c r="B17" s="21" t="s">
        <v>233</v>
      </c>
      <c r="C17" s="148">
        <f>612/3.65</f>
        <v>167.67123287671234</v>
      </c>
      <c r="D17">
        <v>22</v>
      </c>
      <c r="E17" s="1">
        <f>E53*2.2</f>
        <v>63.800000000000004</v>
      </c>
      <c r="F17" s="21" t="s">
        <v>215</v>
      </c>
      <c r="G17" s="7">
        <f>Table4673[[#This Row],[Quantity]]*Table4673[[#This Row],[Cost per unit ]]</f>
        <v>10697.424657534248</v>
      </c>
      <c r="H17" s="8">
        <f>Table4673[[#This Row],[Quantity]]/Table4673[[#This Row],[unit per duration ]]</f>
        <v>2.9000000000000004</v>
      </c>
      <c r="I17" s="1" t="s">
        <v>229</v>
      </c>
      <c r="J17" s="1"/>
    </row>
    <row r="18" spans="1:10">
      <c r="B18" s="21" t="s">
        <v>234</v>
      </c>
      <c r="C18" s="148">
        <f>650/3.65</f>
        <v>178.08219178082192</v>
      </c>
      <c r="D18">
        <v>22</v>
      </c>
      <c r="E18" s="1">
        <f>E54*2.2</f>
        <v>149.60000000000002</v>
      </c>
      <c r="F18" s="21" t="s">
        <v>215</v>
      </c>
      <c r="G18" s="7">
        <f>Table4673[[#This Row],[Cost per unit ]]*Table4673[[#This Row],[Quantity]]</f>
        <v>26641.095890410961</v>
      </c>
      <c r="H18" s="8">
        <f>Table4673[[#This Row],[Quantity]]/Table4673[[#This Row],[unit per duration ]]</f>
        <v>6.8000000000000007</v>
      </c>
      <c r="I18" s="1" t="s">
        <v>229</v>
      </c>
      <c r="J18" s="1"/>
    </row>
    <row r="19" spans="1:10">
      <c r="B19" s="21" t="s">
        <v>235</v>
      </c>
      <c r="C19" s="148">
        <f>582/3.65</f>
        <v>159.45205479452056</v>
      </c>
      <c r="D19">
        <v>22</v>
      </c>
      <c r="E19" s="1">
        <f>E55*2.2</f>
        <v>22</v>
      </c>
      <c r="F19" s="21" t="s">
        <v>215</v>
      </c>
      <c r="G19" s="7">
        <f>Table4673[[#This Row],[Cost per unit ]]*Table4673[[#This Row],[Quantity]]</f>
        <v>3507.9452054794524</v>
      </c>
      <c r="H19" s="8">
        <f>Table4673[[#This Row],[Quantity]]/Table4673[[#This Row],[unit per duration ]]</f>
        <v>1</v>
      </c>
      <c r="I19" s="1" t="s">
        <v>229</v>
      </c>
      <c r="J19" s="1"/>
    </row>
    <row r="20" spans="1:10">
      <c r="B20" s="21" t="s">
        <v>236</v>
      </c>
      <c r="C20" s="148">
        <f>692/3.65</f>
        <v>189.58904109589042</v>
      </c>
      <c r="D20">
        <v>22</v>
      </c>
      <c r="E20" s="1">
        <f>E56*2.2</f>
        <v>15.400000000000002</v>
      </c>
      <c r="F20" s="21" t="s">
        <v>215</v>
      </c>
      <c r="G20" s="7">
        <f>Table4673[[#This Row],[Cost per unit ]]*Table4673[[#This Row],[Quantity]]</f>
        <v>2919.671232876713</v>
      </c>
      <c r="H20" s="8">
        <f>Table4673[[#This Row],[Quantity]]/Table4673[[#This Row],[unit per duration ]]</f>
        <v>0.70000000000000007</v>
      </c>
      <c r="I20" s="1" t="s">
        <v>229</v>
      </c>
      <c r="J20" s="1"/>
    </row>
    <row r="21" spans="1:10">
      <c r="B21" s="21" t="s">
        <v>224</v>
      </c>
      <c r="C21" s="148">
        <f>692/3.65</f>
        <v>189.58904109589042</v>
      </c>
      <c r="D21">
        <v>22</v>
      </c>
      <c r="E21" s="1">
        <f>E57*2.2</f>
        <v>8.8000000000000007</v>
      </c>
      <c r="F21" s="21" t="s">
        <v>215</v>
      </c>
      <c r="G21" s="7">
        <f>Table4673[[#This Row],[Cost per unit ]]*Table4673[[#This Row],[Quantity]]</f>
        <v>1668.3835616438359</v>
      </c>
      <c r="H21" s="8">
        <v>1</v>
      </c>
      <c r="I21" s="1" t="s">
        <v>229</v>
      </c>
      <c r="J21" s="1"/>
    </row>
    <row r="22" spans="1:10">
      <c r="B22" s="25" t="s">
        <v>237</v>
      </c>
      <c r="C22" s="147">
        <f>136/3.65</f>
        <v>37.260273972602739</v>
      </c>
      <c r="D22">
        <v>22</v>
      </c>
      <c r="E22" s="1">
        <f>E58*2.2</f>
        <v>605</v>
      </c>
      <c r="F22" s="21" t="s">
        <v>70</v>
      </c>
      <c r="G22" s="7">
        <f>Table4673[[#This Row],[Cost per unit ]]*Table4673[[#This Row],[Quantity]]</f>
        <v>22542.465753424658</v>
      </c>
      <c r="H22" s="8">
        <f>Table4673[[#This Row],[Quantity]]/Table4673[[#This Row],[unit per duration ]]</f>
        <v>27.5</v>
      </c>
      <c r="I22" s="1" t="s">
        <v>229</v>
      </c>
      <c r="J22" s="1"/>
    </row>
    <row r="23" spans="1:10">
      <c r="B23" s="25" t="s">
        <v>238</v>
      </c>
      <c r="C23" s="147">
        <f>4.53/3.65</f>
        <v>1.241095890410959</v>
      </c>
      <c r="D23">
        <v>22</v>
      </c>
      <c r="E23" s="1">
        <f>E59*2.2</f>
        <v>605</v>
      </c>
      <c r="F23" s="21" t="s">
        <v>70</v>
      </c>
      <c r="G23" s="7">
        <f>Table4673[[#This Row],[Cost per unit ]]*Table4673[[#This Row],[Quantity]]</f>
        <v>750.8630136986302</v>
      </c>
      <c r="H23" s="8">
        <f>Table4673[[#This Row],[Quantity]]/Table4673[[#This Row],[unit per duration ]]</f>
        <v>27.5</v>
      </c>
      <c r="I23" s="1" t="s">
        <v>229</v>
      </c>
      <c r="J23" s="1"/>
    </row>
    <row r="24" spans="1:10">
      <c r="B24" s="25" t="s">
        <v>239</v>
      </c>
      <c r="C24" s="147">
        <f>136/3.65</f>
        <v>37.260273972602739</v>
      </c>
      <c r="D24">
        <v>22</v>
      </c>
      <c r="E24" s="1">
        <f>E60*2.2</f>
        <v>605</v>
      </c>
      <c r="F24" s="21" t="s">
        <v>70</v>
      </c>
      <c r="G24" s="7">
        <f>Table4673[[#This Row],[Cost per unit ]]*Table4673[[#This Row],[Quantity]]</f>
        <v>22542.465753424658</v>
      </c>
      <c r="H24" s="8">
        <f>Table4673[[#This Row],[Quantity]]/Table4673[[#This Row],[unit per duration ]]</f>
        <v>27.5</v>
      </c>
      <c r="I24" s="1" t="s">
        <v>229</v>
      </c>
      <c r="J24" s="1"/>
    </row>
    <row r="25" spans="1:10">
      <c r="A25" s="128" t="s">
        <v>240</v>
      </c>
      <c r="B25" s="145" t="s">
        <v>18</v>
      </c>
      <c r="C25" t="s">
        <v>18</v>
      </c>
      <c r="E25" t="s">
        <v>18</v>
      </c>
      <c r="F25" t="s">
        <v>18</v>
      </c>
      <c r="G25" s="123">
        <v>194775</v>
      </c>
      <c r="H25" s="8">
        <v>30</v>
      </c>
      <c r="I25" s="122"/>
      <c r="J25" s="122"/>
    </row>
    <row r="26" spans="1:10">
      <c r="A26" s="129" t="s">
        <v>241</v>
      </c>
      <c r="B26" s="1"/>
      <c r="E26" s="1"/>
      <c r="F26" s="1"/>
      <c r="G26" s="7">
        <f>SUM(G3:G24)</f>
        <v>649162.08614434709</v>
      </c>
      <c r="H26" s="7">
        <f>H3+H4+H5+H6+H7+H13+H14+H15+H16+H17+H18+H19+H20+H21+H22+H23+H24+H25</f>
        <v>374.76279069767446</v>
      </c>
      <c r="I26" s="1"/>
      <c r="J26" s="1"/>
    </row>
    <row r="27" spans="1:10">
      <c r="B27" s="38" t="s">
        <v>242</v>
      </c>
      <c r="C27" s="148">
        <f>245/3.65</f>
        <v>67.123287671232873</v>
      </c>
      <c r="D27">
        <v>2.5</v>
      </c>
      <c r="E27" s="39">
        <v>20</v>
      </c>
      <c r="F27" s="154" t="s">
        <v>70</v>
      </c>
      <c r="G27" s="7">
        <f>Table4673[[#This Row],[Quantity]]*Table4673[[#This Row],[Cost per unit ]]</f>
        <v>1342.4657534246576</v>
      </c>
      <c r="H27" s="1">
        <f>Table4673[[#This Row],[Quantity]]*Table4673[[#This Row],[unit per duration ]]</f>
        <v>50</v>
      </c>
      <c r="I27" s="1" t="s">
        <v>243</v>
      </c>
      <c r="J27" s="1"/>
    </row>
    <row r="28" spans="1:10">
      <c r="B28" s="24" t="s">
        <v>244</v>
      </c>
      <c r="C28" s="148">
        <f>2500*20/3.65</f>
        <v>13698.630136986301</v>
      </c>
      <c r="D28">
        <v>1</v>
      </c>
      <c r="E28" s="71">
        <v>1</v>
      </c>
      <c r="F28" s="72" t="s">
        <v>209</v>
      </c>
      <c r="G28" s="7">
        <f>C28*Table4673[[#This Row],[Quantity]]</f>
        <v>13698.630136986301</v>
      </c>
      <c r="H28" s="1">
        <f>Table4673[[#This Row],[unit per duration ]]</f>
        <v>1</v>
      </c>
      <c r="I28" s="1" t="s">
        <v>243</v>
      </c>
      <c r="J28" s="1"/>
    </row>
    <row r="29" spans="1:10">
      <c r="B29" s="24" t="s">
        <v>245</v>
      </c>
      <c r="C29" s="148">
        <f>4311*5/3.65</f>
        <v>5905.4794520547948</v>
      </c>
      <c r="D29">
        <v>1</v>
      </c>
      <c r="E29" s="135">
        <v>2</v>
      </c>
      <c r="F29" s="153" t="s">
        <v>209</v>
      </c>
      <c r="G29" s="7">
        <f>Table4673[[#This Row],[Cost per unit ]]*Table4673[[#This Row],[Quantity]]</f>
        <v>11810.95890410959</v>
      </c>
      <c r="H29" s="1">
        <f>Table4673[[#This Row],[unit per duration ]]*Table4673[[#This Row],[Quantity]]</f>
        <v>2</v>
      </c>
      <c r="I29" s="1" t="s">
        <v>243</v>
      </c>
      <c r="J29" s="11" t="s">
        <v>246</v>
      </c>
    </row>
    <row r="30" spans="1:10">
      <c r="A30" s="2" t="s">
        <v>247</v>
      </c>
      <c r="G30" s="123">
        <f>SUM(G27:G29)</f>
        <v>26852.054794520547</v>
      </c>
      <c r="H30" s="123">
        <f>SUM(H27:H29)</f>
        <v>53</v>
      </c>
      <c r="I30" s="1"/>
    </row>
    <row r="31" spans="1:10">
      <c r="A31" s="127"/>
      <c r="B31" s="127" t="s">
        <v>248</v>
      </c>
      <c r="C31" s="140">
        <f>350*1.2</f>
        <v>420</v>
      </c>
      <c r="D31" s="138">
        <f>4+4</f>
        <v>8</v>
      </c>
      <c r="E31" s="66">
        <v>3</v>
      </c>
      <c r="F31" s="153" t="s">
        <v>209</v>
      </c>
      <c r="G31" s="139">
        <f>Table4673[[#This Row],[Quantity]]*Table4673[[#This Row],[Cost per unit ]]</f>
        <v>1260</v>
      </c>
      <c r="H31" s="155">
        <f>Table4673[[#This Row],[Quantity]]*Table4673[[#This Row],[unit per duration ]]/10</f>
        <v>2.4</v>
      </c>
      <c r="I31" s="1" t="s">
        <v>243</v>
      </c>
      <c r="J31" s="11" t="s">
        <v>249</v>
      </c>
    </row>
    <row r="32" spans="1:10">
      <c r="A32" s="127"/>
      <c r="B32" s="127" t="s">
        <v>250</v>
      </c>
      <c r="C32" s="140">
        <f>124005*1.2</f>
        <v>148806</v>
      </c>
      <c r="D32" s="138">
        <f t="shared" ref="D32:D35" si="0">4+4</f>
        <v>8</v>
      </c>
      <c r="E32" s="66">
        <v>1</v>
      </c>
      <c r="F32" s="153" t="s">
        <v>209</v>
      </c>
      <c r="G32" s="123">
        <f>Table4673[[#This Row],[Cost per unit ]]*Table4673[[#This Row],[Quantity]]</f>
        <v>148806</v>
      </c>
      <c r="H32" s="155">
        <f>Table4673[[#This Row],[Quantity]]*Table4673[[#This Row],[unit per duration ]]/10</f>
        <v>0.8</v>
      </c>
      <c r="I32" s="1" t="s">
        <v>243</v>
      </c>
      <c r="J32" s="11" t="s">
        <v>251</v>
      </c>
    </row>
    <row r="33" spans="1:10">
      <c r="A33" s="127"/>
      <c r="B33" s="127" t="s">
        <v>252</v>
      </c>
      <c r="C33" s="141">
        <f>1650*1.2</f>
        <v>1980</v>
      </c>
      <c r="D33" s="138">
        <f t="shared" si="0"/>
        <v>8</v>
      </c>
      <c r="E33" s="66">
        <v>1</v>
      </c>
      <c r="F33" s="153" t="s">
        <v>209</v>
      </c>
      <c r="G33" s="123">
        <f>Table4673[[#This Row],[Cost per unit ]]*Table4673[[#This Row],[Quantity]]</f>
        <v>1980</v>
      </c>
      <c r="H33" s="155">
        <f>Table4673[[#This Row],[Quantity]]*Table4673[[#This Row],[unit per duration ]]/10</f>
        <v>0.8</v>
      </c>
      <c r="I33" s="1" t="s">
        <v>243</v>
      </c>
      <c r="J33" s="11" t="s">
        <v>253</v>
      </c>
    </row>
    <row r="34" spans="1:10">
      <c r="A34" s="127" t="s">
        <v>254</v>
      </c>
      <c r="E34" s="66"/>
      <c r="F34" s="144"/>
      <c r="G34" s="139">
        <f>SUM(G31:G33)</f>
        <v>152046</v>
      </c>
      <c r="H34" s="139">
        <f>SUM(H31:H33)</f>
        <v>4</v>
      </c>
      <c r="I34" s="1"/>
      <c r="J34" s="122"/>
    </row>
    <row r="35" spans="1:10">
      <c r="A35" s="127"/>
      <c r="B35" s="127" t="s">
        <v>255</v>
      </c>
      <c r="C35" s="142">
        <f>1.5*1.2</f>
        <v>1.7999999999999998</v>
      </c>
      <c r="D35" s="138">
        <f t="shared" si="0"/>
        <v>8</v>
      </c>
      <c r="E35" s="66">
        <v>8000</v>
      </c>
      <c r="F35" s="153" t="s">
        <v>228</v>
      </c>
      <c r="G35" s="123">
        <f>Table4673[[#This Row],[Quantity]]*Table4673[[#This Row],[Cost per unit ]]</f>
        <v>14399.999999999998</v>
      </c>
      <c r="H35" s="124">
        <v>2</v>
      </c>
      <c r="I35" s="1" t="s">
        <v>243</v>
      </c>
      <c r="J35" s="11" t="s">
        <v>256</v>
      </c>
    </row>
    <row r="36" spans="1:10">
      <c r="A36" s="127"/>
      <c r="B36" s="127" t="s">
        <v>257</v>
      </c>
      <c r="C36" s="143">
        <f>2500*1.2</f>
        <v>3000</v>
      </c>
      <c r="D36" s="138">
        <f>4+4</f>
        <v>8</v>
      </c>
      <c r="E36" s="66">
        <v>2</v>
      </c>
      <c r="F36" s="144" t="s">
        <v>209</v>
      </c>
      <c r="G36" s="123">
        <f>Table4673[[#This Row],[Cost per unit ]]*Table4673[[#This Row],[Quantity]]</f>
        <v>6000</v>
      </c>
      <c r="H36" s="124">
        <v>1</v>
      </c>
      <c r="I36" s="1" t="s">
        <v>243</v>
      </c>
      <c r="J36" s="11" t="s">
        <v>258</v>
      </c>
    </row>
    <row r="37" spans="1:10">
      <c r="A37" s="127"/>
      <c r="E37" s="66"/>
      <c r="F37" s="172"/>
      <c r="G37" s="123">
        <f>SUM(G35:G36)</f>
        <v>20400</v>
      </c>
      <c r="H37" s="123">
        <f>SUM(H35:H36)</f>
        <v>3</v>
      </c>
      <c r="I37" s="122"/>
      <c r="J37" s="122"/>
    </row>
    <row r="39" spans="1:10">
      <c r="E39" s="1">
        <f>E44*1.2</f>
        <v>204</v>
      </c>
    </row>
    <row r="40" spans="1:10">
      <c r="E40" s="130">
        <f>E39*1.5</f>
        <v>306</v>
      </c>
    </row>
    <row r="41" spans="1:10">
      <c r="E41" s="130">
        <f>E39*2*150/1000</f>
        <v>61.2</v>
      </c>
    </row>
    <row r="42" spans="1:10">
      <c r="E42" s="130">
        <f>E40</f>
        <v>306</v>
      </c>
    </row>
    <row r="43" spans="1:10">
      <c r="E43" s="1">
        <f>E39</f>
        <v>204</v>
      </c>
    </row>
    <row r="44" spans="1:10">
      <c r="E44" s="152">
        <v>170</v>
      </c>
    </row>
    <row r="45" spans="1:10">
      <c r="E45" s="152">
        <v>47</v>
      </c>
    </row>
    <row r="46" spans="1:10">
      <c r="E46" s="152">
        <v>7</v>
      </c>
    </row>
    <row r="47" spans="1:10">
      <c r="E47" s="152">
        <v>22</v>
      </c>
    </row>
    <row r="48" spans="1:10">
      <c r="E48" s="152">
        <v>50</v>
      </c>
    </row>
    <row r="49" spans="5:5">
      <c r="E49" s="167">
        <v>42</v>
      </c>
    </row>
    <row r="50" spans="5:5">
      <c r="E50" s="152">
        <v>11700</v>
      </c>
    </row>
    <row r="51" spans="5:5">
      <c r="E51" s="168">
        <f>E39</f>
        <v>204</v>
      </c>
    </row>
    <row r="52" spans="5:5">
      <c r="E52" s="152">
        <v>65</v>
      </c>
    </row>
    <row r="53" spans="5:5">
      <c r="E53" s="169">
        <v>29</v>
      </c>
    </row>
    <row r="54" spans="5:5">
      <c r="E54" s="159">
        <v>68</v>
      </c>
    </row>
    <row r="55" spans="5:5">
      <c r="E55" s="169">
        <v>10</v>
      </c>
    </row>
    <row r="56" spans="5:5">
      <c r="E56" s="159">
        <v>7</v>
      </c>
    </row>
    <row r="57" spans="5:5">
      <c r="E57" s="169">
        <v>4</v>
      </c>
    </row>
    <row r="58" spans="5:5">
      <c r="E58" s="152">
        <v>275</v>
      </c>
    </row>
    <row r="59" spans="5:5">
      <c r="E59" s="167">
        <v>275</v>
      </c>
    </row>
    <row r="60" spans="5:5">
      <c r="E60" s="152">
        <v>275</v>
      </c>
    </row>
  </sheetData>
  <phoneticPr fontId="22" type="noConversion"/>
  <hyperlinks>
    <hyperlink ref="J32" r:id="rId1" xr:uid="{BA97E897-F49F-4578-A69D-59BCBF1D3EA2}"/>
    <hyperlink ref="J31" r:id="rId2" xr:uid="{7EB336E4-D730-4738-8AB8-B591F492C426}"/>
    <hyperlink ref="J33" r:id="rId3" xr:uid="{1C44DC6D-D7AA-4D96-BA2F-BBABD7619743}"/>
    <hyperlink ref="J35" r:id="rId4" xr:uid="{8D1709F8-AB5B-423E-AAB3-C6E1457DC34C}"/>
    <hyperlink ref="J36" r:id="rId5" xr:uid="{DB3B4737-1536-4AE5-8598-F604B6693DBB}"/>
    <hyperlink ref="J29" r:id="rId6" xr:uid="{FC62CE0B-12F7-4A15-98FC-089CEB6EF0AD}"/>
  </hyperlinks>
  <pageMargins left="0.7" right="0.7" top="0.75" bottom="0.75" header="0.3" footer="0.3"/>
  <pageSetup orientation="portrait" r:id="rId7"/>
  <tableParts count="1">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20F4B-A663-45BF-A144-6D397DA1DABE}">
  <dimension ref="A1:K31"/>
  <sheetViews>
    <sheetView topLeftCell="A3" zoomScale="57" zoomScaleNormal="145" workbookViewId="0">
      <selection activeCell="D25" sqref="D25"/>
    </sheetView>
  </sheetViews>
  <sheetFormatPr defaultRowHeight="14.45"/>
  <cols>
    <col min="1" max="1" width="13.7109375" customWidth="1"/>
    <col min="2" max="2" width="45.7109375" style="2" bestFit="1" customWidth="1"/>
    <col min="3" max="3" width="10.5703125" bestFit="1" customWidth="1"/>
    <col min="4" max="4" width="34.42578125" customWidth="1"/>
    <col min="5" max="5" width="18.28515625" bestFit="1" customWidth="1"/>
    <col min="6" max="6" width="23.42578125" bestFit="1" customWidth="1"/>
    <col min="7" max="8" width="10.140625" customWidth="1"/>
    <col min="9" max="9" width="15.140625" bestFit="1" customWidth="1"/>
    <col min="10" max="10" width="19.85546875" customWidth="1"/>
    <col min="11" max="11" width="144.7109375" bestFit="1" customWidth="1"/>
  </cols>
  <sheetData>
    <row r="1" spans="1:11">
      <c r="A1" s="118" t="s">
        <v>259</v>
      </c>
      <c r="B1" s="125" t="s">
        <v>0</v>
      </c>
      <c r="C1" s="118" t="s">
        <v>260</v>
      </c>
      <c r="D1" s="118" t="s">
        <v>1</v>
      </c>
      <c r="E1" s="118" t="s">
        <v>2</v>
      </c>
      <c r="F1" s="118" t="s">
        <v>3</v>
      </c>
      <c r="G1" s="118" t="s">
        <v>4</v>
      </c>
      <c r="H1" s="118" t="s">
        <v>209</v>
      </c>
      <c r="I1" s="118" t="s">
        <v>5</v>
      </c>
      <c r="J1" s="118" t="s">
        <v>6</v>
      </c>
      <c r="K1" s="118" t="s">
        <v>9</v>
      </c>
    </row>
    <row r="2" spans="1:11">
      <c r="A2" s="130"/>
      <c r="B2" s="166" t="s">
        <v>211</v>
      </c>
      <c r="C2" s="130"/>
      <c r="D2" s="130"/>
      <c r="F2" s="130"/>
      <c r="G2" s="130"/>
      <c r="H2" s="130"/>
      <c r="I2" s="131"/>
      <c r="J2" s="1"/>
      <c r="K2" s="130"/>
    </row>
    <row r="3" spans="1:11">
      <c r="A3" s="1"/>
      <c r="C3" s="1"/>
      <c r="D3" s="151" t="s">
        <v>212</v>
      </c>
      <c r="E3" s="150">
        <f>(52476.8/3722)/3.65</f>
        <v>3.8627634281171561</v>
      </c>
      <c r="F3" s="1">
        <v>1</v>
      </c>
      <c r="G3" s="1">
        <f>G8*1.2</f>
        <v>204</v>
      </c>
      <c r="H3" s="151" t="s">
        <v>70</v>
      </c>
      <c r="I3" s="7">
        <f>Table46734[[#This Row],[Cost per unit ]]*Table46734[[#This Row],[Quantity]]</f>
        <v>788.00373933589981</v>
      </c>
      <c r="J3" s="8">
        <f>Table46734[[#This Row],[Quantity]]*Table46734[[#This Row],[unit per duration ]]/20</f>
        <v>10.199999999999999</v>
      </c>
      <c r="K3" s="1"/>
    </row>
    <row r="4" spans="1:11">
      <c r="A4" s="130"/>
      <c r="B4" s="132"/>
      <c r="C4" s="130"/>
      <c r="D4" s="156" t="s">
        <v>214</v>
      </c>
      <c r="E4" s="149">
        <f>27.54/3.65</f>
        <v>7.5452054794520551</v>
      </c>
      <c r="F4" s="130">
        <v>43</v>
      </c>
      <c r="G4" s="130">
        <f>G3*1.5</f>
        <v>306</v>
      </c>
      <c r="H4" s="151" t="s">
        <v>215</v>
      </c>
      <c r="I4" s="131">
        <f>Table46734[[#This Row],[Cost per unit ]]*Table46734[[#This Row],[Quantity]]</f>
        <v>2308.8328767123289</v>
      </c>
      <c r="J4" s="8">
        <f>Table46734[[#This Row],[Quantity]]/Table46734[[#This Row],[unit per duration ]]</f>
        <v>7.1162790697674421</v>
      </c>
      <c r="K4" s="130"/>
    </row>
    <row r="5" spans="1:11">
      <c r="A5" s="1"/>
      <c r="C5" s="1"/>
      <c r="D5" s="154" t="s">
        <v>217</v>
      </c>
      <c r="E5" s="149">
        <f>41.51/3.65</f>
        <v>11.372602739726027</v>
      </c>
      <c r="F5" s="1">
        <v>43</v>
      </c>
      <c r="G5" s="130">
        <f>G3*2*150/1000</f>
        <v>61.2</v>
      </c>
      <c r="H5" s="151" t="s">
        <v>215</v>
      </c>
      <c r="I5" s="7">
        <f>Table46734[[#This Row],[Cost per unit ]]*Table46734[[#This Row],[Quantity]]</f>
        <v>696.0032876712329</v>
      </c>
      <c r="J5" s="8">
        <f>Table46734[[#This Row],[Quantity]]/Table46734[[#This Row],[unit per duration ]]</f>
        <v>1.4232558139534885</v>
      </c>
      <c r="K5" s="1"/>
    </row>
    <row r="6" spans="1:11">
      <c r="A6" s="130"/>
      <c r="B6" s="132"/>
      <c r="C6" s="130"/>
      <c r="D6" s="157" t="s">
        <v>218</v>
      </c>
      <c r="E6" s="149">
        <f>27.54/3.65</f>
        <v>7.5452054794520551</v>
      </c>
      <c r="F6" s="130">
        <v>43</v>
      </c>
      <c r="G6" s="130">
        <f>G4</f>
        <v>306</v>
      </c>
      <c r="H6" s="151" t="s">
        <v>215</v>
      </c>
      <c r="I6" s="131">
        <f>Table46734[[#This Row],[Quantity]]*Table46734[[#This Row],[Cost per unit ]]</f>
        <v>2308.8328767123289</v>
      </c>
      <c r="J6" s="8">
        <f>Table46734[[#This Row],[Quantity]]/Table46734[[#This Row],[unit per duration ]]</f>
        <v>7.1162790697674421</v>
      </c>
      <c r="K6" s="130"/>
    </row>
    <row r="7" spans="1:11">
      <c r="A7" s="1"/>
      <c r="C7" s="1"/>
      <c r="D7" s="151" t="s">
        <v>219</v>
      </c>
      <c r="E7" s="148">
        <f>2.49/3.65</f>
        <v>0.68219178082191789</v>
      </c>
      <c r="F7" s="1">
        <v>20</v>
      </c>
      <c r="G7" s="1">
        <f>G3</f>
        <v>204</v>
      </c>
      <c r="H7" s="151" t="s">
        <v>70</v>
      </c>
      <c r="I7" s="7">
        <f>Table46734[[#This Row],[Cost per unit ]]*Table46734[[#This Row],[Quantity]]</f>
        <v>139.16712328767125</v>
      </c>
      <c r="J7" s="8">
        <f>Table46734[[#This Row],[Quantity]]/Table46734[[#This Row],[unit per duration ]]</f>
        <v>10.199999999999999</v>
      </c>
      <c r="K7" s="1"/>
    </row>
    <row r="8" spans="1:11" hidden="1">
      <c r="A8" s="1"/>
      <c r="C8" s="1"/>
      <c r="D8" s="151" t="s">
        <v>220</v>
      </c>
      <c r="G8" s="152">
        <v>170</v>
      </c>
      <c r="H8" s="151" t="s">
        <v>70</v>
      </c>
      <c r="I8" s="7"/>
      <c r="J8" s="8" t="e">
        <f>Table46734[[#This Row],[Quantity]]/Table46734[[#This Row],[unit per duration ]]</f>
        <v>#DIV/0!</v>
      </c>
      <c r="K8" s="1"/>
    </row>
    <row r="9" spans="1:11" hidden="1">
      <c r="A9" s="1"/>
      <c r="C9" s="1"/>
      <c r="D9" s="151" t="s">
        <v>221</v>
      </c>
      <c r="G9" s="152">
        <v>47</v>
      </c>
      <c r="H9" s="151" t="s">
        <v>215</v>
      </c>
      <c r="I9" s="7"/>
      <c r="J9" s="8" t="e">
        <f>Table46734[[#This Row],[Quantity]]/Table46734[[#This Row],[unit per duration ]]</f>
        <v>#DIV/0!</v>
      </c>
      <c r="K9" s="1"/>
    </row>
    <row r="10" spans="1:11" hidden="1">
      <c r="A10" s="1"/>
      <c r="C10" s="1"/>
      <c r="D10" s="151" t="s">
        <v>222</v>
      </c>
      <c r="G10" s="152">
        <v>7</v>
      </c>
      <c r="H10" s="151" t="s">
        <v>215</v>
      </c>
      <c r="I10" s="7"/>
      <c r="J10" s="8" t="e">
        <f>Table46734[[#This Row],[Quantity]]/Table46734[[#This Row],[unit per duration ]]</f>
        <v>#DIV/0!</v>
      </c>
      <c r="K10" s="1"/>
    </row>
    <row r="11" spans="1:11" hidden="1">
      <c r="A11" s="1"/>
      <c r="C11" s="1"/>
      <c r="D11" s="151" t="s">
        <v>223</v>
      </c>
      <c r="G11" s="152">
        <v>22</v>
      </c>
      <c r="H11" s="151" t="s">
        <v>215</v>
      </c>
      <c r="I11" s="7"/>
      <c r="J11" s="8" t="e">
        <f>Table46734[[#This Row],[Quantity]]/Table46734[[#This Row],[unit per duration ]]</f>
        <v>#DIV/0!</v>
      </c>
      <c r="K11" s="1"/>
    </row>
    <row r="12" spans="1:11" hidden="1">
      <c r="A12" s="1"/>
      <c r="C12" s="1"/>
      <c r="D12" s="151" t="s">
        <v>224</v>
      </c>
      <c r="F12" s="146">
        <v>0.15</v>
      </c>
      <c r="G12" s="152">
        <v>50</v>
      </c>
      <c r="H12" s="151" t="s">
        <v>215</v>
      </c>
      <c r="I12" s="7"/>
      <c r="J12" s="8">
        <f>Table46734[[#This Row],[Quantity]]/Table46734[[#This Row],[unit per duration ]]</f>
        <v>333.33333333333337</v>
      </c>
      <c r="K12" s="1"/>
    </row>
    <row r="13" spans="1:11">
      <c r="A13" s="1"/>
      <c r="C13" s="1"/>
      <c r="D13" s="151" t="s">
        <v>225</v>
      </c>
      <c r="E13">
        <f>300*1.2</f>
        <v>360</v>
      </c>
      <c r="F13">
        <v>22</v>
      </c>
      <c r="G13" s="152">
        <v>42</v>
      </c>
      <c r="H13" s="151" t="s">
        <v>215</v>
      </c>
      <c r="I13" s="7">
        <f>Table46734[[#This Row],[Quantity]]*Table46734[[#This Row],[Cost per unit ]]</f>
        <v>15120</v>
      </c>
      <c r="J13" s="8">
        <f>Table46734[[#This Row],[Quantity]]/Table46734[[#This Row],[unit per duration ]]</f>
        <v>1.9090909090909092</v>
      </c>
      <c r="K13" s="1" t="s">
        <v>226</v>
      </c>
    </row>
    <row r="14" spans="1:11">
      <c r="A14" s="1"/>
      <c r="C14" s="1"/>
      <c r="D14" s="151" t="s">
        <v>227</v>
      </c>
      <c r="E14">
        <f>0.35*1.2</f>
        <v>0.42</v>
      </c>
      <c r="F14">
        <v>22</v>
      </c>
      <c r="G14" s="152">
        <v>11700</v>
      </c>
      <c r="H14" s="151" t="s">
        <v>228</v>
      </c>
      <c r="I14" s="7">
        <f>Table46734[[#This Row],[Cost per unit ]]*Table46734[[#This Row],[Quantity]]</f>
        <v>4914</v>
      </c>
      <c r="J14" s="8">
        <f>Table46734[[#This Row],[Quantity]]/(Table46734[[#This Row],[unit per duration ]]*10)</f>
        <v>53.18181818181818</v>
      </c>
      <c r="K14" s="1" t="s">
        <v>230</v>
      </c>
    </row>
    <row r="15" spans="1:11">
      <c r="A15" s="1"/>
      <c r="C15" s="1"/>
      <c r="D15" s="151" t="s">
        <v>231</v>
      </c>
      <c r="E15" s="149">
        <f>3860/3.65</f>
        <v>1057.5342465753424</v>
      </c>
      <c r="F15">
        <v>22</v>
      </c>
      <c r="G15" s="158">
        <f>G3</f>
        <v>204</v>
      </c>
      <c r="H15" s="151" t="s">
        <v>70</v>
      </c>
      <c r="I15" s="7">
        <f>Table46734[[#This Row],[Cost per unit ]]*Table46734[[#This Row],[Quantity]]</f>
        <v>215736.98630136985</v>
      </c>
      <c r="J15" s="8">
        <f>Table46734[[#This Row],[Quantity]]/Table46734[[#This Row],[unit per duration ]]</f>
        <v>9.2727272727272734</v>
      </c>
      <c r="K15" s="1"/>
    </row>
    <row r="16" spans="1:11">
      <c r="A16" s="1"/>
      <c r="C16" s="1"/>
      <c r="D16" s="154" t="s">
        <v>232</v>
      </c>
      <c r="E16" s="148">
        <f>650/3.65</f>
        <v>178.08219178082192</v>
      </c>
      <c r="F16">
        <v>22</v>
      </c>
      <c r="G16" s="152">
        <v>65</v>
      </c>
      <c r="H16" s="151" t="s">
        <v>215</v>
      </c>
      <c r="I16" s="7">
        <f>Table46734[[#This Row],[Cost per unit ]]*Table46734[[#This Row],[Quantity]]</f>
        <v>11575.342465753425</v>
      </c>
      <c r="J16" s="8">
        <f>Table46734[[#This Row],[Quantity]]/Table46734[[#This Row],[unit per duration ]]</f>
        <v>2.9545454545454546</v>
      </c>
      <c r="K16" s="1"/>
    </row>
    <row r="17" spans="1:11">
      <c r="A17" s="1"/>
      <c r="C17" s="1"/>
      <c r="D17" s="154" t="s">
        <v>233</v>
      </c>
      <c r="E17" s="148">
        <f>612/3.65</f>
        <v>167.67123287671234</v>
      </c>
      <c r="F17">
        <v>22</v>
      </c>
      <c r="G17" s="159">
        <v>29</v>
      </c>
      <c r="H17" s="154" t="s">
        <v>215</v>
      </c>
      <c r="I17" s="7">
        <f>Table46734[[#This Row],[Quantity]]*Table46734[[#This Row],[Cost per unit ]]</f>
        <v>4862.465753424658</v>
      </c>
      <c r="J17" s="8">
        <f>Table46734[[#This Row],[Quantity]]/Table46734[[#This Row],[unit per duration ]]</f>
        <v>1.3181818181818181</v>
      </c>
      <c r="K17" s="1"/>
    </row>
    <row r="18" spans="1:11">
      <c r="A18" s="1"/>
      <c r="C18" s="1"/>
      <c r="D18" s="154" t="s">
        <v>234</v>
      </c>
      <c r="E18" s="148">
        <f>650/3.65</f>
        <v>178.08219178082192</v>
      </c>
      <c r="F18">
        <v>22</v>
      </c>
      <c r="G18" s="159">
        <v>68</v>
      </c>
      <c r="H18" s="154" t="s">
        <v>215</v>
      </c>
      <c r="I18" s="7">
        <f>Table46734[[#This Row],[Cost per unit ]]*Table46734[[#This Row],[Quantity]]</f>
        <v>12109.589041095891</v>
      </c>
      <c r="J18" s="8">
        <f>Table46734[[#This Row],[Quantity]]/Table46734[[#This Row],[unit per duration ]]</f>
        <v>3.0909090909090908</v>
      </c>
      <c r="K18" s="1"/>
    </row>
    <row r="19" spans="1:11">
      <c r="A19" s="1"/>
      <c r="C19" s="1"/>
      <c r="D19" s="154" t="s">
        <v>235</v>
      </c>
      <c r="E19" s="148">
        <f>582/3.65</f>
        <v>159.45205479452056</v>
      </c>
      <c r="F19">
        <v>22</v>
      </c>
      <c r="G19" s="159">
        <v>10</v>
      </c>
      <c r="H19" s="154" t="s">
        <v>215</v>
      </c>
      <c r="I19" s="7">
        <f>Table46734[[#This Row],[Cost per unit ]]*Table46734[[#This Row],[Quantity]]</f>
        <v>1594.5205479452056</v>
      </c>
      <c r="J19" s="8">
        <v>1</v>
      </c>
      <c r="K19" s="1"/>
    </row>
    <row r="20" spans="1:11">
      <c r="A20" s="1"/>
      <c r="C20" s="1"/>
      <c r="D20" s="154" t="s">
        <v>236</v>
      </c>
      <c r="E20" s="148">
        <f>692/3.65</f>
        <v>189.58904109589042</v>
      </c>
      <c r="F20">
        <v>22</v>
      </c>
      <c r="G20" s="159">
        <v>7</v>
      </c>
      <c r="H20" s="154" t="s">
        <v>215</v>
      </c>
      <c r="I20" s="7">
        <f>Table46734[[#This Row],[Cost per unit ]]*Table46734[[#This Row],[Quantity]]</f>
        <v>1327.1232876712329</v>
      </c>
      <c r="J20" s="8">
        <v>1</v>
      </c>
      <c r="K20" s="1"/>
    </row>
    <row r="21" spans="1:11">
      <c r="A21" s="1"/>
      <c r="C21" s="1"/>
      <c r="D21" s="154" t="s">
        <v>224</v>
      </c>
      <c r="E21" s="148">
        <f>692/3.65</f>
        <v>189.58904109589042</v>
      </c>
      <c r="F21">
        <v>22</v>
      </c>
      <c r="G21" s="159">
        <v>4</v>
      </c>
      <c r="H21" s="154" t="s">
        <v>215</v>
      </c>
      <c r="I21" s="7">
        <f>Table46734[[#This Row],[Cost per unit ]]*Table46734[[#This Row],[Quantity]]</f>
        <v>758.35616438356169</v>
      </c>
      <c r="J21" s="8">
        <v>1</v>
      </c>
      <c r="K21" s="1"/>
    </row>
    <row r="22" spans="1:11">
      <c r="A22" s="1"/>
      <c r="C22" s="1"/>
      <c r="D22" s="160" t="s">
        <v>237</v>
      </c>
      <c r="E22" s="147">
        <f>136/3.65</f>
        <v>37.260273972602739</v>
      </c>
      <c r="F22">
        <v>22</v>
      </c>
      <c r="G22" s="152">
        <v>275</v>
      </c>
      <c r="H22" s="154" t="s">
        <v>70</v>
      </c>
      <c r="I22" s="7">
        <f>Table46734[[#This Row],[Cost per unit ]]*Table46734[[#This Row],[Quantity]]</f>
        <v>10246.575342465754</v>
      </c>
      <c r="J22" s="8">
        <f>Table46734[[#This Row],[Quantity]]/Table46734[[#This Row],[unit per duration ]]</f>
        <v>12.5</v>
      </c>
      <c r="K22" s="1"/>
    </row>
    <row r="23" spans="1:11">
      <c r="A23" s="1"/>
      <c r="C23" s="1"/>
      <c r="D23" s="160" t="s">
        <v>238</v>
      </c>
      <c r="E23" s="147">
        <f>4.53/3.65</f>
        <v>1.241095890410959</v>
      </c>
      <c r="F23">
        <v>22</v>
      </c>
      <c r="G23" s="152">
        <v>275</v>
      </c>
      <c r="H23" s="154" t="s">
        <v>70</v>
      </c>
      <c r="I23" s="7">
        <f>Table46734[[#This Row],[Cost per unit ]]*Table46734[[#This Row],[Quantity]]</f>
        <v>341.30136986301375</v>
      </c>
      <c r="J23" s="8">
        <f>Table46734[[#This Row],[Quantity]]/Table46734[[#This Row],[unit per duration ]]</f>
        <v>12.5</v>
      </c>
      <c r="K23" s="1"/>
    </row>
    <row r="24" spans="1:11">
      <c r="A24" s="1"/>
      <c r="C24" s="1"/>
      <c r="D24" s="160" t="s">
        <v>239</v>
      </c>
      <c r="E24" s="147">
        <f>136/3.65</f>
        <v>37.260273972602739</v>
      </c>
      <c r="F24">
        <v>22</v>
      </c>
      <c r="G24" s="152">
        <v>275</v>
      </c>
      <c r="H24" s="154" t="s">
        <v>70</v>
      </c>
      <c r="I24" s="7">
        <f>Table46734[[#This Row],[Cost per unit ]]*Table46734[[#This Row],[Quantity]]</f>
        <v>10246.575342465754</v>
      </c>
      <c r="J24" s="8">
        <f>Table46734[[#This Row],[Quantity]]/Table46734[[#This Row],[unit per duration ]]</f>
        <v>12.5</v>
      </c>
      <c r="K24" s="1"/>
    </row>
    <row r="25" spans="1:11">
      <c r="A25" s="1"/>
      <c r="B25" s="127"/>
      <c r="C25" s="1"/>
      <c r="D25" s="188" t="s">
        <v>240</v>
      </c>
      <c r="E25" t="s">
        <v>18</v>
      </c>
      <c r="G25" t="s">
        <v>18</v>
      </c>
      <c r="H25" t="s">
        <v>18</v>
      </c>
      <c r="I25" s="7">
        <f>194775*1.3</f>
        <v>253207.5</v>
      </c>
      <c r="J25" s="8">
        <v>30</v>
      </c>
      <c r="K25" s="1"/>
    </row>
    <row r="26" spans="1:11">
      <c r="A26" s="1"/>
      <c r="B26" s="161" t="s">
        <v>241</v>
      </c>
      <c r="C26" s="1"/>
      <c r="D26" s="1"/>
      <c r="G26" s="1"/>
      <c r="H26" s="1"/>
      <c r="I26" s="7">
        <f>SUM(I3:I25)</f>
        <v>548281.17552015791</v>
      </c>
      <c r="J26" s="7">
        <f>J3+J4+J5+J6+J7+J13+J14+J15+J16+J17+J18+J19+J20+J21+J22+J23+J24+J25</f>
        <v>178.28308668076107</v>
      </c>
      <c r="K26" s="1"/>
    </row>
    <row r="27" spans="1:11">
      <c r="A27" s="1"/>
      <c r="D27" s="162" t="s">
        <v>242</v>
      </c>
      <c r="E27" s="148">
        <f>245/3.65</f>
        <v>67.123287671232873</v>
      </c>
      <c r="F27">
        <v>2.5</v>
      </c>
      <c r="G27" s="163">
        <v>45</v>
      </c>
      <c r="H27" s="154" t="s">
        <v>70</v>
      </c>
      <c r="I27" s="7">
        <f>Table46734[[#This Row],[Quantity]]*Table46734[[#This Row],[Cost per unit ]]</f>
        <v>3020.5479452054792</v>
      </c>
      <c r="J27" s="1">
        <f>Table46734[[#This Row],[Quantity]]*Table46734[[#This Row],[unit per duration ]]</f>
        <v>112.5</v>
      </c>
      <c r="K27" s="1"/>
    </row>
    <row r="28" spans="1:11">
      <c r="A28" s="1"/>
      <c r="D28" s="164" t="s">
        <v>261</v>
      </c>
      <c r="E28" s="148">
        <f>2500*20/3.65</f>
        <v>13698.630136986301</v>
      </c>
      <c r="F28">
        <v>1</v>
      </c>
      <c r="G28" s="165">
        <v>1</v>
      </c>
      <c r="H28" s="153" t="s">
        <v>209</v>
      </c>
      <c r="I28" s="7">
        <f>E28*Table46734[[#This Row],[Quantity]]</f>
        <v>13698.630136986301</v>
      </c>
      <c r="J28" s="1">
        <f>Table46734[[#This Row],[unit per duration ]]</f>
        <v>1</v>
      </c>
      <c r="K28" s="1"/>
    </row>
    <row r="29" spans="1:11">
      <c r="A29" s="1"/>
      <c r="D29" s="164" t="s">
        <v>262</v>
      </c>
      <c r="E29" s="148">
        <f>4311/3.65</f>
        <v>1181.0958904109589</v>
      </c>
      <c r="F29">
        <v>1</v>
      </c>
      <c r="G29" s="158">
        <v>9</v>
      </c>
      <c r="H29" s="153" t="s">
        <v>209</v>
      </c>
      <c r="I29" s="7">
        <f>Table46734[[#This Row],[Cost per unit ]]*Table46734[[#This Row],[Quantity]]</f>
        <v>10629.86301369863</v>
      </c>
      <c r="J29" s="1">
        <f>Table46734[[#This Row],[unit per duration ]]*Table46734[[#This Row],[Quantity]]</f>
        <v>9</v>
      </c>
      <c r="K29" s="11" t="s">
        <v>246</v>
      </c>
    </row>
    <row r="30" spans="1:11">
      <c r="A30" s="1"/>
      <c r="D30" s="164" t="s">
        <v>263</v>
      </c>
      <c r="E30" s="148">
        <f>4311/3.65</f>
        <v>1181.0958904109589</v>
      </c>
      <c r="F30">
        <v>1</v>
      </c>
      <c r="G30" s="165">
        <v>8</v>
      </c>
      <c r="H30" s="153" t="s">
        <v>209</v>
      </c>
      <c r="I30" s="7">
        <f>Table46734[[#This Row],[Cost per unit ]]*Table46734[[#This Row],[Quantity]]</f>
        <v>9448.767123287671</v>
      </c>
      <c r="J30" s="1">
        <f>Table46734[[#This Row],[unit per duration ]]*Table46734[[#This Row],[Quantity]]</f>
        <v>8</v>
      </c>
      <c r="K30" s="1"/>
    </row>
    <row r="31" spans="1:11">
      <c r="A31" s="122"/>
      <c r="B31" s="127"/>
      <c r="C31" s="122"/>
      <c r="G31" s="173"/>
      <c r="H31" s="174"/>
      <c r="I31" s="123">
        <f>SUM(I27:I30)</f>
        <v>36797.808219178085</v>
      </c>
      <c r="J31" s="123">
        <f>SUM(J27:J30)</f>
        <v>130.5</v>
      </c>
      <c r="K31" s="122"/>
    </row>
  </sheetData>
  <hyperlinks>
    <hyperlink ref="K29" r:id="rId1" xr:uid="{8E52522F-5ED8-4B96-86A4-E61E39313670}"/>
  </hyperlinks>
  <pageMargins left="0.7" right="0.7" top="0.75" bottom="0.75" header="0.3" footer="0.3"/>
  <pageSetup orientation="portrait"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2BD42-F6D6-453C-8165-6EAD65CD142B}">
  <dimension ref="A1:K6"/>
  <sheetViews>
    <sheetView workbookViewId="0">
      <selection activeCell="C14" sqref="C14"/>
    </sheetView>
  </sheetViews>
  <sheetFormatPr defaultRowHeight="15"/>
  <cols>
    <col min="1" max="1" width="19.7109375" bestFit="1" customWidth="1"/>
    <col min="2" max="2" width="8.42578125" bestFit="1" customWidth="1"/>
    <col min="3" max="3" width="18.85546875" bestFit="1" customWidth="1"/>
    <col min="4" max="4" width="17.85546875" bestFit="1" customWidth="1"/>
    <col min="5" max="5" width="23.5703125" bestFit="1" customWidth="1"/>
    <col min="6" max="6" width="12.140625" bestFit="1" customWidth="1"/>
    <col min="7" max="7" width="10.5703125" customWidth="1"/>
    <col min="8" max="8" width="11" bestFit="1" customWidth="1"/>
    <col min="9" max="9" width="10.42578125" customWidth="1"/>
    <col min="10" max="10" width="11.5703125" bestFit="1" customWidth="1"/>
  </cols>
  <sheetData>
    <row r="1" spans="1:11">
      <c r="A1" t="s">
        <v>264</v>
      </c>
      <c r="B1" s="175">
        <f>750</f>
        <v>750</v>
      </c>
      <c r="C1" s="175" t="s">
        <v>265</v>
      </c>
      <c r="D1" s="176">
        <v>40</v>
      </c>
      <c r="E1" s="177" t="s">
        <v>266</v>
      </c>
      <c r="F1" s="178">
        <v>5</v>
      </c>
      <c r="G1" s="179" t="s">
        <v>267</v>
      </c>
      <c r="H1" s="180">
        <f>D1*F1</f>
        <v>200</v>
      </c>
      <c r="I1" s="180" t="s">
        <v>268</v>
      </c>
      <c r="J1" s="181">
        <v>0.5</v>
      </c>
      <c r="K1">
        <f>H1/J1</f>
        <v>400</v>
      </c>
    </row>
    <row r="2" spans="1:11" ht="14.45">
      <c r="A2" t="s">
        <v>269</v>
      </c>
      <c r="B2">
        <f>B1/K1</f>
        <v>1.875</v>
      </c>
      <c r="C2" t="s">
        <v>270</v>
      </c>
      <c r="D2" s="11" t="s">
        <v>271</v>
      </c>
    </row>
    <row r="3" spans="1:11">
      <c r="B3" t="s">
        <v>272</v>
      </c>
      <c r="C3" t="s">
        <v>273</v>
      </c>
    </row>
    <row r="4" spans="1:11" ht="14.45">
      <c r="A4" t="s">
        <v>274</v>
      </c>
      <c r="B4">
        <v>40</v>
      </c>
      <c r="C4">
        <f>B4*10000</f>
        <v>400000</v>
      </c>
      <c r="D4" s="11" t="s">
        <v>275</v>
      </c>
    </row>
    <row r="5" spans="1:11">
      <c r="B5" t="s">
        <v>276</v>
      </c>
      <c r="C5" t="s">
        <v>277</v>
      </c>
      <c r="D5" t="s">
        <v>278</v>
      </c>
      <c r="E5" t="s">
        <v>279</v>
      </c>
      <c r="F5" t="s">
        <v>280</v>
      </c>
    </row>
    <row r="6" spans="1:11">
      <c r="A6" t="s">
        <v>281</v>
      </c>
      <c r="B6">
        <f>C4*2</f>
        <v>800000</v>
      </c>
      <c r="C6">
        <v>120.61</v>
      </c>
      <c r="D6">
        <v>20</v>
      </c>
      <c r="E6">
        <f>B6/(C6*D6)</f>
        <v>331.64745875134736</v>
      </c>
      <c r="F6">
        <f>E6/8</f>
        <v>41.45593234391842</v>
      </c>
    </row>
  </sheetData>
  <hyperlinks>
    <hyperlink ref="D4" r:id="rId1" xr:uid="{5B2BFF6E-A7D2-4F57-A163-9C32D50D53FF}"/>
    <hyperlink ref="D2" r:id="rId2" xr:uid="{CA877FE7-9C34-4D15-B650-C7BC4566DE9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F1E2352B984694B941742B03996E73F" ma:contentTypeVersion="7" ma:contentTypeDescription="Create a new document." ma:contentTypeScope="" ma:versionID="6a0406e67ba2345c66f8eca5f897e26e">
  <xsd:schema xmlns:xsd="http://www.w3.org/2001/XMLSchema" xmlns:xs="http://www.w3.org/2001/XMLSchema" xmlns:p="http://schemas.microsoft.com/office/2006/metadata/properties" xmlns:ns3="8b507fb3-2378-40d5-b6f2-38cda78c6292" xmlns:ns4="44bcfc64-3431-4957-884e-c190120d8941" targetNamespace="http://schemas.microsoft.com/office/2006/metadata/properties" ma:root="true" ma:fieldsID="39fb0c72adb425d6e12f83ea8b07443b" ns3:_="" ns4:_="">
    <xsd:import namespace="8b507fb3-2378-40d5-b6f2-38cda78c6292"/>
    <xsd:import namespace="44bcfc64-3431-4957-884e-c190120d8941"/>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507fb3-2378-40d5-b6f2-38cda78c6292"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4bcfc64-3431-4957-884e-c190120d8941"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D9E28D9-B96A-4C27-8C6B-F9BC131B43C9}"/>
</file>

<file path=customXml/itemProps2.xml><?xml version="1.0" encoding="utf-8"?>
<ds:datastoreItem xmlns:ds="http://schemas.openxmlformats.org/officeDocument/2006/customXml" ds:itemID="{EE81982F-9368-4EEA-8058-02A4ADAFCBAA}"/>
</file>

<file path=customXml/itemProps3.xml><?xml version="1.0" encoding="utf-8"?>
<ds:datastoreItem xmlns:ds="http://schemas.openxmlformats.org/officeDocument/2006/customXml" ds:itemID="{69043DB4-B66B-4A1E-80DA-355D562CF2E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mohammad houkan</dc:creator>
  <cp:keywords/>
  <dc:description/>
  <cp:lastModifiedBy/>
  <cp:revision/>
  <dcterms:created xsi:type="dcterms:W3CDTF">2020-04-24T19:25:10Z</dcterms:created>
  <dcterms:modified xsi:type="dcterms:W3CDTF">2020-04-27T14:36:50Z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0x010100AF1E2352B984694B941742B03996E73F</vt:lpwstr>
  </property>
  <property fmtid="{D5CDD505-2E9C-101B-9397-08002B2CF9AE}" pid="3" name="WorkbookGuid">
    <vt:lpwstr>f3df0401-179e-44df-b9d9-4e3419a16a23</vt:lpwstr>
  </property>
</Properties>
</file>